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35" yWindow="30" windowWidth="6570" windowHeight="82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'Лист1'!$A$1:$I$414</definedName>
  </definedNames>
  <calcPr fullCalcOnLoad="1"/>
</workbook>
</file>

<file path=xl/comments1.xml><?xml version="1.0" encoding="utf-8"?>
<comments xmlns="http://schemas.openxmlformats.org/spreadsheetml/2006/main">
  <authors>
    <author>Kontora</author>
  </authors>
  <commentList>
    <comment ref="C376" authorId="0">
      <text>
        <r>
          <rPr>
            <b/>
            <sz val="8"/>
            <rFont val="Tahoma"/>
            <family val="2"/>
          </rPr>
          <t>Kontora:</t>
        </r>
        <r>
          <rPr>
            <sz val="8"/>
            <rFont val="Tahoma"/>
            <family val="2"/>
          </rPr>
          <t xml:space="preserve">
уменьшилось за счёт того. Что земельные участки не учитываются</t>
        </r>
      </text>
    </comment>
  </commentList>
</comments>
</file>

<file path=xl/sharedStrings.xml><?xml version="1.0" encoding="utf-8"?>
<sst xmlns="http://schemas.openxmlformats.org/spreadsheetml/2006/main" count="705" uniqueCount="277">
  <si>
    <t>Показатели</t>
  </si>
  <si>
    <t>Единица измерения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</si>
  <si>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</si>
  <si>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</si>
  <si>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</si>
  <si>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</si>
  <si>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</si>
  <si>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</si>
  <si>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</si>
  <si>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</si>
  <si>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</si>
  <si>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</si>
  <si>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</si>
  <si>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</si>
  <si>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</si>
  <si>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</si>
  <si>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</si>
  <si>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</si>
  <si>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</si>
  <si>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</si>
  <si>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</si>
  <si>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</si>
  <si>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</si>
  <si>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</si>
  <si>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</si>
  <si>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</si>
  <si>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</si>
  <si>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</si>
  <si>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</si>
  <si>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</si>
  <si>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</si>
  <si>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</si>
  <si>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</si>
  <si>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</si>
  <si>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</si>
  <si>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</si>
  <si>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</si>
  <si>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</si>
  <si>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Объем инвестиций в основной капитал за счет всех источников финансирования:</t>
  </si>
  <si>
    <t>в том числе</t>
  </si>
  <si>
    <t>прибыль</t>
  </si>
  <si>
    <t>амортизация</t>
  </si>
  <si>
    <t>Финансы</t>
  </si>
  <si>
    <t>Сальдированный финансовый результат (прибыль минус убыток)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</si>
  <si>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</si>
  <si>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</si>
  <si>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</si>
  <si>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</si>
  <si>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</si>
  <si>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</si>
  <si>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</si>
  <si>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</si>
  <si>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</si>
  <si>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</si>
  <si>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</si>
  <si>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</si>
  <si>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</si>
  <si>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</si>
  <si>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</si>
  <si>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</si>
  <si>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</si>
  <si>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</si>
  <si>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</si>
  <si>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</si>
  <si>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</si>
  <si>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</si>
  <si>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</si>
  <si>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</si>
  <si>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</si>
  <si>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</si>
  <si>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</si>
  <si>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</si>
  <si>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</si>
  <si>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</si>
  <si>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</si>
  <si>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</si>
  <si>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</si>
  <si>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</si>
  <si>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</si>
  <si>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</si>
  <si>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</si>
  <si>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</si>
  <si>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</si>
  <si>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</si>
  <si>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</si>
  <si>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</si>
  <si>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</si>
  <si>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</si>
  <si>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</si>
  <si>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Иностранные инвестици</t>
  </si>
  <si>
    <r>
      <t>СА</t>
    </r>
    <r>
      <rPr>
        <b/>
        <i/>
        <sz val="12"/>
        <color indexed="8"/>
        <rFont val="Times New Roman Cyr"/>
        <family val="1"/>
      </rPr>
      <t xml:space="preserve">     Добыча топливно-энергетических полезных ископаемых </t>
    </r>
  </si>
  <si>
    <r>
      <t>СВ</t>
    </r>
    <r>
      <rPr>
        <b/>
        <i/>
        <sz val="12"/>
        <color indexed="8"/>
        <rFont val="Times New Roman Cyr"/>
        <family val="1"/>
      </rPr>
      <t xml:space="preserve">   Добыча прочих полезных ископаемых</t>
    </r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</si>
  <si>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</si>
  <si>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</si>
  <si>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</si>
  <si>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</si>
  <si>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</si>
  <si>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</si>
  <si>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</si>
  <si>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</si>
  <si>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</si>
  <si>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</si>
  <si>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</si>
  <si>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</si>
  <si>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</si>
  <si>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</si>
  <si>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</si>
  <si>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</si>
  <si>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</si>
  <si>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</si>
  <si>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</si>
  <si>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t>Среднемесячная заработная плата одного работника в целом по муниципальному району (городскому округу)</t>
  </si>
  <si>
    <r>
      <t xml:space="preserve">Инвестиции в основной капитал по источникам финансирования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</si>
  <si>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</si>
  <si>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</si>
  <si>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</si>
  <si>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</si>
  <si>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</si>
  <si>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</si>
  <si>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</si>
  <si>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</si>
  <si>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</si>
  <si>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</si>
  <si>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</si>
  <si>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</si>
  <si>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</si>
  <si>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</si>
  <si>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</si>
  <si>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</si>
  <si>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</si>
  <si>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</si>
  <si>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</si>
  <si>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</si>
  <si>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</si>
  <si>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</si>
  <si>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</si>
  <si>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</si>
  <si>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</si>
  <si>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</si>
  <si>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</si>
  <si>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</si>
  <si>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</si>
  <si>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</si>
  <si>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</si>
  <si>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</si>
  <si>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</si>
  <si>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</si>
  <si>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</si>
  <si>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</si>
  <si>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</si>
  <si>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</si>
  <si>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</si>
  <si>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</si>
  <si>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</si>
  <si>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</si>
  <si>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</si>
  <si>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</si>
  <si>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</si>
  <si>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</si>
  <si>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</si>
  <si>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</si>
  <si>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</si>
  <si>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</si>
  <si>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</si>
  <si>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</si>
  <si>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</si>
  <si>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</si>
  <si>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</si>
  <si>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</si>
  <si>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</si>
  <si>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</si>
  <si>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</si>
  <si>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</si>
  <si>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</si>
  <si>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</si>
  <si>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</si>
  <si>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</si>
  <si>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</si>
  <si>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</si>
  <si>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</si>
  <si>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</si>
  <si>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</si>
  <si>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</si>
  <si>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</si>
  <si>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</si>
  <si>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5. Доля стоимости жилищно-коммунальных услуг, оплачиваемая населением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</si>
  <si>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</si>
  <si>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</si>
  <si>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</si>
  <si>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</si>
  <si>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</si>
  <si>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</si>
  <si>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</si>
  <si>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</si>
  <si>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</si>
  <si>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</si>
  <si>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</si>
  <si>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</si>
  <si>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</si>
  <si>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</si>
  <si>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плоскостными сооржениями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</si>
  <si>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</si>
  <si>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</si>
  <si>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</si>
  <si>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</si>
  <si>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</si>
  <si>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</si>
  <si>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</si>
  <si>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</si>
  <si>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</si>
  <si>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</si>
  <si>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</si>
  <si>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</si>
  <si>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</si>
  <si>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</si>
  <si>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</si>
  <si>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</si>
  <si>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</si>
  <si>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</si>
  <si>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</si>
  <si>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</si>
  <si>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</si>
  <si>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</si>
  <si>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</si>
  <si>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</si>
  <si>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</si>
  <si>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</si>
  <si>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</si>
  <si>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</si>
  <si>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</si>
  <si>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</si>
  <si>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</si>
  <si>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</si>
  <si>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</si>
  <si>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</si>
  <si>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</si>
  <si>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</si>
  <si>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</si>
  <si>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</si>
  <si>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</si>
  <si>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</si>
  <si>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</si>
  <si>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</si>
  <si>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</si>
  <si>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</si>
  <si>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</si>
  <si>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</si>
  <si>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</si>
  <si>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</si>
  <si>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</si>
  <si>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</si>
  <si>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воспитанников на 100 мест</t>
  </si>
  <si>
    <t>Выпуск учащихсяиз государственных дневных полных средних общеобразовательных учреждений</t>
  </si>
  <si>
    <t>чел. на 100 жителей</t>
  </si>
  <si>
    <t>Естественный прирост (убыль) на 1000 человек</t>
  </si>
  <si>
    <t>чел.</t>
  </si>
  <si>
    <t>238</t>
  </si>
  <si>
    <t>144</t>
  </si>
  <si>
    <t>Количество квадратных метров площади, полученной семьями, улучшившими жилищные условия</t>
  </si>
  <si>
    <t>Жилищно - коммунальное хозяйство</t>
  </si>
  <si>
    <t>Число семей, получивших жилые помещения и улучшивших жилищные условия в течение года</t>
  </si>
  <si>
    <t>Плановый период</t>
  </si>
  <si>
    <t>2013 год</t>
  </si>
  <si>
    <t>2014 год</t>
  </si>
  <si>
    <t>2015 год</t>
  </si>
  <si>
    <t>2009 год</t>
  </si>
  <si>
    <t>2010 год</t>
  </si>
  <si>
    <t>2011 год</t>
  </si>
  <si>
    <t>2012 год</t>
  </si>
  <si>
    <t>факт</t>
  </si>
  <si>
    <t>оценка</t>
  </si>
  <si>
    <r>
      <t>DL</t>
    </r>
    <r>
      <rPr>
        <b/>
        <i/>
        <sz val="12"/>
        <color indexed="8"/>
        <rFont val="Times New Roman Cyr"/>
        <family val="1"/>
      </rPr>
      <t xml:space="preserve">   Производство электро-, электронного и оптического оборудования </t>
    </r>
  </si>
  <si>
    <t>Показатели прогноза социально-экономического развития                                      Колпашевского района Томской области                                                                                                     на 2013-2015 гг.</t>
  </si>
  <si>
    <t>млн. руб.</t>
  </si>
  <si>
    <t>млн. куб.м</t>
  </si>
  <si>
    <t>тыс.  куб. м.</t>
  </si>
  <si>
    <t>тыс.     куб. 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</si>
</sst>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b/>
      <sz val="12"/>
      <name val="Arial Cyr"/>
      <family val="0"/>
    </font>
    <font>
      <b/>
      <sz val="10"/>
      <color indexed="16"/>
      <name val="Arial Cyr"/>
      <family val="2"/>
    </font>
    <font>
      <sz val="12"/>
      <color indexed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.5"/>
      <name val="Times New Roman"/>
      <family val="1"/>
    </font>
    <font>
      <sz val="8.5"/>
      <name val="Times New Roman"/>
      <family val="1"/>
    </font>
    <font>
      <sz val="8.5"/>
      <color indexed="10"/>
      <name val="Times New Roman Cyr"/>
      <family val="1"/>
    </font>
    <font>
      <sz val="8.5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sz val="8.5"/>
      <color indexed="18"/>
      <name val="Times New Roman CYR"/>
      <family val="1"/>
    </font>
    <font>
      <sz val="10"/>
      <color indexed="18"/>
      <name val="Times New Roman Cyr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1"/>
    </font>
    <font>
      <sz val="12"/>
      <color rgb="FFFF0000"/>
      <name val="Times New Roman"/>
      <family val="1"/>
    </font>
    <font>
      <sz val="12"/>
      <color theme="3" tint="-0.24997000396251678"/>
      <name val="Times New Roman"/>
      <family val="1"/>
    </font>
    <font>
      <sz val="12"/>
      <color theme="3" tint="-0.24997000396251678"/>
      <name val="Times New Roman CYR"/>
      <family val="1"/>
    </font>
    <font>
      <sz val="8.5"/>
      <color theme="3" tint="-0.24997000396251678"/>
      <name val="Times New Roman CYR"/>
      <family val="1"/>
    </font>
    <font>
      <sz val="10"/>
      <color theme="3" tint="-0.24997000396251678"/>
      <name val="Times New Roman Cyr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 indent="6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6"/>
      <protection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left" vertical="center" wrapText="1" indent="4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8"/>
      <protection/>
    </xf>
    <xf numFmtId="0" fontId="0" fillId="36" borderId="0" xfId="0" applyFill="1" applyAlignment="1">
      <alignment/>
    </xf>
    <xf numFmtId="0" fontId="3" fillId="37" borderId="0" xfId="0" applyNumberFormat="1" applyFont="1" applyFill="1" applyBorder="1" applyAlignment="1" applyProtection="1">
      <alignment vertical="top"/>
      <protection/>
    </xf>
    <xf numFmtId="0" fontId="0" fillId="37" borderId="0" xfId="0" applyFill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>
      <alignment horizontal="right"/>
    </xf>
    <xf numFmtId="164" fontId="2" fillId="37" borderId="10" xfId="0" applyNumberFormat="1" applyFont="1" applyFill="1" applyBorder="1" applyAlignment="1" applyProtection="1">
      <alignment horizontal="right"/>
      <protection/>
    </xf>
    <xf numFmtId="167" fontId="3" fillId="37" borderId="10" xfId="0" applyNumberFormat="1" applyFont="1" applyFill="1" applyBorder="1" applyAlignment="1" applyProtection="1">
      <alignment horizontal="right"/>
      <protection/>
    </xf>
    <xf numFmtId="165" fontId="3" fillId="37" borderId="10" xfId="0" applyNumberFormat="1" applyFont="1" applyFill="1" applyBorder="1" applyAlignment="1" applyProtection="1">
      <alignment vertical="top"/>
      <protection/>
    </xf>
    <xf numFmtId="166" fontId="3" fillId="37" borderId="10" xfId="0" applyNumberFormat="1" applyFont="1" applyFill="1" applyBorder="1" applyAlignment="1" applyProtection="1">
      <alignment vertical="top"/>
      <protection/>
    </xf>
    <xf numFmtId="0" fontId="3" fillId="37" borderId="10" xfId="0" applyNumberFormat="1" applyFont="1" applyFill="1" applyBorder="1" applyAlignment="1" applyProtection="1">
      <alignment vertical="top"/>
      <protection/>
    </xf>
    <xf numFmtId="0" fontId="13" fillId="37" borderId="10" xfId="0" applyFont="1" applyFill="1" applyBorder="1" applyAlignment="1">
      <alignment/>
    </xf>
    <xf numFmtId="0" fontId="79" fillId="37" borderId="10" xfId="0" applyNumberFormat="1" applyFont="1" applyFill="1" applyBorder="1" applyAlignment="1" applyProtection="1">
      <alignment vertical="top"/>
      <protection/>
    </xf>
    <xf numFmtId="167" fontId="3" fillId="37" borderId="10" xfId="0" applyNumberFormat="1" applyFont="1" applyFill="1" applyBorder="1" applyAlignment="1" applyProtection="1">
      <alignment vertical="top"/>
      <protection/>
    </xf>
    <xf numFmtId="166" fontId="79" fillId="37" borderId="10" xfId="0" applyNumberFormat="1" applyFont="1" applyFill="1" applyBorder="1" applyAlignment="1" applyProtection="1">
      <alignment vertical="top"/>
      <protection/>
    </xf>
    <xf numFmtId="166" fontId="3" fillId="37" borderId="10" xfId="0" applyNumberFormat="1" applyFont="1" applyFill="1" applyBorder="1" applyAlignment="1">
      <alignment horizontal="right"/>
    </xf>
    <xf numFmtId="166" fontId="3" fillId="37" borderId="10" xfId="0" applyNumberFormat="1" applyFont="1" applyFill="1" applyBorder="1" applyAlignment="1" applyProtection="1">
      <alignment horizontal="right"/>
      <protection/>
    </xf>
    <xf numFmtId="166" fontId="26" fillId="37" borderId="10" xfId="0" applyNumberFormat="1" applyFont="1" applyFill="1" applyBorder="1" applyAlignment="1">
      <alignment horizontal="right"/>
    </xf>
    <xf numFmtId="164" fontId="13" fillId="37" borderId="10" xfId="0" applyNumberFormat="1" applyFont="1" applyFill="1" applyBorder="1" applyAlignment="1">
      <alignment horizontal="right"/>
    </xf>
    <xf numFmtId="2" fontId="3" fillId="37" borderId="10" xfId="0" applyNumberFormat="1" applyFont="1" applyFill="1" applyBorder="1" applyAlignment="1">
      <alignment horizontal="right"/>
    </xf>
    <xf numFmtId="166" fontId="80" fillId="37" borderId="10" xfId="0" applyNumberFormat="1" applyFont="1" applyFill="1" applyBorder="1" applyAlignment="1">
      <alignment horizontal="right"/>
    </xf>
    <xf numFmtId="166" fontId="12" fillId="37" borderId="10" xfId="0" applyNumberFormat="1" applyFont="1" applyFill="1" applyBorder="1" applyAlignment="1" applyProtection="1">
      <alignment horizontal="right"/>
      <protection/>
    </xf>
    <xf numFmtId="166" fontId="81" fillId="37" borderId="10" xfId="0" applyNumberFormat="1" applyFont="1" applyFill="1" applyBorder="1" applyAlignment="1" applyProtection="1">
      <alignment horizontal="right"/>
      <protection/>
    </xf>
    <xf numFmtId="166" fontId="13" fillId="37" borderId="10" xfId="0" applyNumberFormat="1" applyFont="1" applyFill="1" applyBorder="1" applyAlignment="1" applyProtection="1">
      <alignment horizontal="right"/>
      <protection/>
    </xf>
    <xf numFmtId="166" fontId="82" fillId="37" borderId="10" xfId="0" applyNumberFormat="1" applyFont="1" applyFill="1" applyBorder="1" applyAlignment="1" applyProtection="1">
      <alignment horizontal="right"/>
      <protection/>
    </xf>
    <xf numFmtId="165" fontId="3" fillId="37" borderId="10" xfId="0" applyNumberFormat="1" applyFont="1" applyFill="1" applyBorder="1" applyAlignment="1" applyProtection="1">
      <alignment horizontal="right"/>
      <protection/>
    </xf>
    <xf numFmtId="165" fontId="13" fillId="37" borderId="10" xfId="0" applyNumberFormat="1" applyFont="1" applyFill="1" applyBorder="1" applyAlignment="1">
      <alignment horizontal="right"/>
    </xf>
    <xf numFmtId="3" fontId="3" fillId="37" borderId="10" xfId="0" applyNumberFormat="1" applyFont="1" applyFill="1" applyBorder="1" applyAlignment="1" applyProtection="1">
      <alignment horizontal="right"/>
      <protection/>
    </xf>
    <xf numFmtId="0" fontId="3" fillId="37" borderId="10" xfId="0" applyNumberFormat="1" applyFont="1" applyFill="1" applyBorder="1" applyAlignment="1" applyProtection="1">
      <alignment horizontal="right"/>
      <protection/>
    </xf>
    <xf numFmtId="164" fontId="3" fillId="37" borderId="10" xfId="0" applyNumberFormat="1" applyFont="1" applyFill="1" applyBorder="1" applyAlignment="1" applyProtection="1">
      <alignment horizontal="right" wrapText="1"/>
      <protection/>
    </xf>
    <xf numFmtId="2" fontId="3" fillId="37" borderId="10" xfId="0" applyNumberFormat="1" applyFont="1" applyFill="1" applyBorder="1" applyAlignment="1" applyProtection="1">
      <alignment horizontal="right"/>
      <protection/>
    </xf>
    <xf numFmtId="0" fontId="83" fillId="37" borderId="10" xfId="0" applyNumberFormat="1" applyFont="1" applyFill="1" applyBorder="1" applyAlignment="1" applyProtection="1">
      <alignment horizontal="right"/>
      <protection/>
    </xf>
    <xf numFmtId="3" fontId="27" fillId="37" borderId="10" xfId="0" applyNumberFormat="1" applyFont="1" applyFill="1" applyBorder="1" applyAlignment="1" applyProtection="1">
      <alignment horizontal="right"/>
      <protection/>
    </xf>
    <xf numFmtId="3" fontId="27" fillId="37" borderId="10" xfId="0" applyNumberFormat="1" applyFont="1" applyFill="1" applyBorder="1" applyAlignment="1">
      <alignment horizontal="right"/>
    </xf>
    <xf numFmtId="3" fontId="27" fillId="37" borderId="10" xfId="0" applyNumberFormat="1" applyFont="1" applyFill="1" applyBorder="1" applyAlignment="1" applyProtection="1">
      <alignment/>
      <protection/>
    </xf>
    <xf numFmtId="3" fontId="27" fillId="37" borderId="10" xfId="0" applyNumberFormat="1" applyFont="1" applyFill="1" applyBorder="1" applyAlignment="1">
      <alignment/>
    </xf>
    <xf numFmtId="3" fontId="28" fillId="37" borderId="10" xfId="0" applyNumberFormat="1" applyFont="1" applyFill="1" applyBorder="1" applyAlignment="1" applyProtection="1">
      <alignment/>
      <protection/>
    </xf>
    <xf numFmtId="164" fontId="25" fillId="37" borderId="10" xfId="0" applyNumberFormat="1" applyFont="1" applyFill="1" applyBorder="1" applyAlignment="1" applyProtection="1">
      <alignment horizontal="right"/>
      <protection/>
    </xf>
    <xf numFmtId="3" fontId="83" fillId="37" borderId="10" xfId="0" applyNumberFormat="1" applyFont="1" applyFill="1" applyBorder="1" applyAlignment="1" applyProtection="1">
      <alignment horizontal="right"/>
      <protection/>
    </xf>
    <xf numFmtId="164" fontId="14" fillId="37" borderId="10" xfId="0" applyNumberFormat="1" applyFont="1" applyFill="1" applyBorder="1" applyAlignment="1" applyProtection="1">
      <alignment horizontal="right"/>
      <protection/>
    </xf>
    <xf numFmtId="164" fontId="26" fillId="37" borderId="10" xfId="0" applyNumberFormat="1" applyFont="1" applyFill="1" applyBorder="1" applyAlignment="1" applyProtection="1">
      <alignment horizontal="right"/>
      <protection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167" fontId="83" fillId="37" borderId="10" xfId="0" applyNumberFormat="1" applyFont="1" applyFill="1" applyBorder="1" applyAlignment="1" applyProtection="1">
      <alignment horizontal="right"/>
      <protection/>
    </xf>
    <xf numFmtId="49" fontId="4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>
      <alignment/>
    </xf>
    <xf numFmtId="3" fontId="29" fillId="37" borderId="10" xfId="0" applyNumberFormat="1" applyFont="1" applyFill="1" applyBorder="1" applyAlignment="1" applyProtection="1">
      <alignment horizontal="right"/>
      <protection/>
    </xf>
    <xf numFmtId="0" fontId="3" fillId="37" borderId="10" xfId="0" applyNumberFormat="1" applyFont="1" applyFill="1" applyBorder="1" applyAlignment="1" applyProtection="1">
      <alignment/>
      <protection/>
    </xf>
    <xf numFmtId="0" fontId="13" fillId="37" borderId="10" xfId="0" applyNumberFormat="1" applyFont="1" applyFill="1" applyBorder="1" applyAlignment="1" applyProtection="1">
      <alignment/>
      <protection/>
    </xf>
    <xf numFmtId="166" fontId="3" fillId="37" borderId="10" xfId="0" applyNumberFormat="1" applyFont="1" applyFill="1" applyBorder="1" applyAlignment="1" applyProtection="1">
      <alignment/>
      <protection/>
    </xf>
    <xf numFmtId="166" fontId="2" fillId="37" borderId="10" xfId="0" applyNumberFormat="1" applyFont="1" applyFill="1" applyBorder="1" applyAlignment="1" applyProtection="1">
      <alignment/>
      <protection/>
    </xf>
    <xf numFmtId="166" fontId="84" fillId="37" borderId="10" xfId="0" applyNumberFormat="1" applyFont="1" applyFill="1" applyBorder="1" applyAlignment="1" applyProtection="1">
      <alignment/>
      <protection/>
    </xf>
    <xf numFmtId="167" fontId="13" fillId="37" borderId="10" xfId="0" applyNumberFormat="1" applyFont="1" applyFill="1" applyBorder="1" applyAlignment="1" applyProtection="1">
      <alignment horizontal="right"/>
      <protection/>
    </xf>
    <xf numFmtId="0" fontId="85" fillId="37" borderId="10" xfId="0" applyNumberFormat="1" applyFont="1" applyFill="1" applyBorder="1" applyAlignment="1" applyProtection="1">
      <alignment horizontal="right"/>
      <protection/>
    </xf>
    <xf numFmtId="0" fontId="13" fillId="37" borderId="10" xfId="0" applyNumberFormat="1" applyFont="1" applyFill="1" applyBorder="1" applyAlignment="1" applyProtection="1">
      <alignment horizontal="right"/>
      <protection/>
    </xf>
    <xf numFmtId="166" fontId="13" fillId="37" borderId="10" xfId="0" applyNumberFormat="1" applyFont="1" applyFill="1" applyBorder="1" applyAlignment="1" applyProtection="1">
      <alignment horizontal="right"/>
      <protection/>
    </xf>
    <xf numFmtId="1" fontId="13" fillId="37" borderId="10" xfId="0" applyNumberFormat="1" applyFont="1" applyFill="1" applyBorder="1" applyAlignment="1" applyProtection="1">
      <alignment horizontal="right"/>
      <protection/>
    </xf>
    <xf numFmtId="3" fontId="30" fillId="37" borderId="10" xfId="0" applyNumberFormat="1" applyFont="1" applyFill="1" applyBorder="1" applyAlignment="1" applyProtection="1">
      <alignment horizontal="right"/>
      <protection/>
    </xf>
    <xf numFmtId="3" fontId="30" fillId="37" borderId="10" xfId="0" applyNumberFormat="1" applyFont="1" applyFill="1" applyBorder="1" applyAlignment="1">
      <alignment horizontal="right"/>
    </xf>
    <xf numFmtId="3" fontId="31" fillId="37" borderId="10" xfId="0" applyNumberFormat="1" applyFont="1" applyFill="1" applyBorder="1" applyAlignment="1" applyProtection="1">
      <alignment horizontal="center" vertical="center"/>
      <protection/>
    </xf>
    <xf numFmtId="3" fontId="30" fillId="37" borderId="10" xfId="0" applyNumberFormat="1" applyFont="1" applyFill="1" applyBorder="1" applyAlignment="1">
      <alignment horizontal="right"/>
    </xf>
    <xf numFmtId="3" fontId="30" fillId="37" borderId="10" xfId="0" applyNumberFormat="1" applyFont="1" applyFill="1" applyBorder="1" applyAlignment="1" applyProtection="1">
      <alignment/>
      <protection/>
    </xf>
    <xf numFmtId="164" fontId="32" fillId="37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166" fontId="86" fillId="37" borderId="10" xfId="0" applyNumberFormat="1" applyFont="1" applyFill="1" applyBorder="1" applyAlignment="1" applyProtection="1">
      <alignment horizontal="right"/>
      <protection/>
    </xf>
    <xf numFmtId="166" fontId="79" fillId="37" borderId="10" xfId="0" applyNumberFormat="1" applyFont="1" applyFill="1" applyBorder="1" applyAlignment="1">
      <alignment horizontal="right"/>
    </xf>
    <xf numFmtId="164" fontId="85" fillId="37" borderId="10" xfId="0" applyNumberFormat="1" applyFont="1" applyFill="1" applyBorder="1" applyAlignment="1">
      <alignment horizontal="right" vertical="center"/>
    </xf>
    <xf numFmtId="164" fontId="87" fillId="37" borderId="10" xfId="0" applyNumberFormat="1" applyFont="1" applyFill="1" applyBorder="1" applyAlignment="1" applyProtection="1">
      <alignment horizontal="right"/>
      <protection/>
    </xf>
    <xf numFmtId="164" fontId="88" fillId="37" borderId="10" xfId="0" applyNumberFormat="1" applyFont="1" applyFill="1" applyBorder="1" applyAlignment="1" applyProtection="1">
      <alignment horizontal="right"/>
      <protection/>
    </xf>
    <xf numFmtId="164" fontId="89" fillId="37" borderId="10" xfId="0" applyNumberFormat="1" applyFont="1" applyFill="1" applyBorder="1" applyAlignment="1" applyProtection="1">
      <alignment horizontal="right"/>
      <protection/>
    </xf>
    <xf numFmtId="0" fontId="87" fillId="37" borderId="10" xfId="0" applyNumberFormat="1" applyFont="1" applyFill="1" applyBorder="1" applyAlignment="1" applyProtection="1">
      <alignment horizontal="right"/>
      <protection/>
    </xf>
    <xf numFmtId="164" fontId="13" fillId="37" borderId="10" xfId="0" applyNumberFormat="1" applyFont="1" applyFill="1" applyBorder="1" applyAlignment="1" applyProtection="1">
      <alignment horizontal="right" wrapText="1"/>
      <protection/>
    </xf>
    <xf numFmtId="166" fontId="2" fillId="37" borderId="10" xfId="0" applyNumberFormat="1" applyFont="1" applyFill="1" applyBorder="1" applyAlignment="1">
      <alignment horizontal="right"/>
    </xf>
    <xf numFmtId="166" fontId="87" fillId="37" borderId="10" xfId="0" applyNumberFormat="1" applyFont="1" applyFill="1" applyBorder="1" applyAlignment="1">
      <alignment horizontal="right"/>
    </xf>
    <xf numFmtId="166" fontId="83" fillId="37" borderId="10" xfId="0" applyNumberFormat="1" applyFont="1" applyFill="1" applyBorder="1" applyAlignment="1">
      <alignment horizontal="right"/>
    </xf>
    <xf numFmtId="164" fontId="82" fillId="37" borderId="10" xfId="0" applyNumberFormat="1" applyFont="1" applyFill="1" applyBorder="1" applyAlignment="1">
      <alignment horizontal="right"/>
    </xf>
    <xf numFmtId="164" fontId="13" fillId="37" borderId="10" xfId="0" applyNumberFormat="1" applyFont="1" applyFill="1" applyBorder="1" applyAlignment="1">
      <alignment horizontal="right" vertical="center"/>
    </xf>
    <xf numFmtId="166" fontId="83" fillId="37" borderId="10" xfId="0" applyNumberFormat="1" applyFont="1" applyFill="1" applyBorder="1" applyAlignment="1" applyProtection="1">
      <alignment horizontal="right"/>
      <protection/>
    </xf>
    <xf numFmtId="0" fontId="83" fillId="37" borderId="10" xfId="0" applyNumberFormat="1" applyFont="1" applyFill="1" applyBorder="1" applyAlignment="1" applyProtection="1">
      <alignment vertical="top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37" borderId="10" xfId="0" applyNumberFormat="1" applyFont="1" applyFill="1" applyBorder="1" applyAlignment="1" applyProtection="1">
      <alignment horizontal="right"/>
      <protection/>
    </xf>
    <xf numFmtId="166" fontId="2" fillId="37" borderId="10" xfId="0" applyNumberFormat="1" applyFont="1" applyFill="1" applyBorder="1" applyAlignment="1" applyProtection="1">
      <alignment vertical="top"/>
      <protection/>
    </xf>
    <xf numFmtId="166" fontId="80" fillId="37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166" fontId="22" fillId="37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3" fillId="0" borderId="10" xfId="0" applyNumberFormat="1" applyFont="1" applyFill="1" applyBorder="1" applyAlignment="1" applyProtection="1">
      <alignment horizontal="left" vertical="top" wrapText="1" indent="6"/>
      <protection/>
    </xf>
    <xf numFmtId="49" fontId="13" fillId="0" borderId="10" xfId="0" applyNumberFormat="1" applyFont="1" applyFill="1" applyBorder="1" applyAlignment="1" applyProtection="1">
      <alignment horizontal="left" vertical="center" wrapText="1" indent="6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indent="2"/>
      <protection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 indent="2"/>
    </xf>
    <xf numFmtId="0" fontId="13" fillId="0" borderId="10" xfId="0" applyFont="1" applyBorder="1" applyAlignment="1">
      <alignment wrapText="1"/>
    </xf>
    <xf numFmtId="166" fontId="0" fillId="37" borderId="10" xfId="0" applyNumberFormat="1" applyFont="1" applyFill="1" applyBorder="1" applyAlignment="1">
      <alignment horizontal="center" vertical="center"/>
    </xf>
    <xf numFmtId="0" fontId="2" fillId="37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37" borderId="10" xfId="0" applyNumberFormat="1" applyFont="1" applyFill="1" applyBorder="1" applyAlignment="1" applyProtection="1">
      <alignment horizontal="center"/>
      <protection/>
    </xf>
    <xf numFmtId="166" fontId="87" fillId="37" borderId="10" xfId="0" applyNumberFormat="1" applyFont="1" applyFill="1" applyBorder="1" applyAlignment="1" applyProtection="1">
      <alignment horizontal="right"/>
      <protection/>
    </xf>
    <xf numFmtId="0" fontId="90" fillId="33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3" fontId="87" fillId="37" borderId="10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/>
      <protection/>
    </xf>
    <xf numFmtId="49" fontId="4" fillId="38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horizontal="left" vertical="center" wrapText="1"/>
    </xf>
    <xf numFmtId="49" fontId="4" fillId="38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2"/>
  <sheetViews>
    <sheetView tabSelected="1" view="pageBreakPreview" zoomScaleSheetLayoutView="100" zoomScalePageLayoutView="0" workbookViewId="0" topLeftCell="A1">
      <pane ySplit="4" topLeftCell="A318" activePane="bottomLeft" state="frozen"/>
      <selection pane="topLeft" activeCell="A1" sqref="A1"/>
      <selection pane="bottomLeft" activeCell="F321" sqref="F321"/>
    </sheetView>
  </sheetViews>
  <sheetFormatPr defaultColWidth="9.00390625" defaultRowHeight="12.75"/>
  <cols>
    <col min="1" max="1" width="30.125" style="1" customWidth="1"/>
    <col min="2" max="2" width="8.25390625" style="2" customWidth="1"/>
    <col min="3" max="4" width="9.25390625" style="43" customWidth="1"/>
    <col min="5" max="5" width="9.625" style="43" customWidth="1"/>
    <col min="6" max="6" width="9.75390625" style="43" customWidth="1"/>
    <col min="7" max="7" width="9.625" style="43" customWidth="1"/>
    <col min="8" max="8" width="9.625" style="44" customWidth="1"/>
    <col min="9" max="9" width="9.375" style="44" customWidth="1"/>
  </cols>
  <sheetData>
    <row r="1" spans="1:9" ht="57.75" customHeight="1" thickBot="1">
      <c r="A1" s="161" t="s">
        <v>272</v>
      </c>
      <c r="B1" s="161"/>
      <c r="C1" s="161"/>
      <c r="D1" s="161"/>
      <c r="E1" s="161"/>
      <c r="F1" s="161"/>
      <c r="G1" s="161"/>
      <c r="H1" s="161"/>
      <c r="I1" s="161"/>
    </row>
    <row r="2" ht="19.5" customHeight="1" hidden="1" thickBot="1"/>
    <row r="3" spans="1:9" s="3" customFormat="1" ht="19.5" customHeight="1" thickBot="1">
      <c r="A3" s="162" t="s">
        <v>0</v>
      </c>
      <c r="B3" s="163" t="s">
        <v>1</v>
      </c>
      <c r="C3" s="144" t="s">
        <v>265</v>
      </c>
      <c r="D3" s="144" t="s">
        <v>266</v>
      </c>
      <c r="E3" s="144" t="s">
        <v>267</v>
      </c>
      <c r="F3" s="144" t="s">
        <v>268</v>
      </c>
      <c r="G3" s="164" t="s">
        <v>261</v>
      </c>
      <c r="H3" s="164"/>
      <c r="I3" s="164"/>
    </row>
    <row r="4" spans="1:9" s="3" customFormat="1" ht="31.5" customHeight="1" thickBot="1">
      <c r="A4" s="162"/>
      <c r="B4" s="163"/>
      <c r="C4" s="144" t="s">
        <v>269</v>
      </c>
      <c r="D4" s="144" t="s">
        <v>269</v>
      </c>
      <c r="E4" s="144" t="s">
        <v>269</v>
      </c>
      <c r="F4" s="144" t="s">
        <v>270</v>
      </c>
      <c r="G4" s="145" t="s">
        <v>262</v>
      </c>
      <c r="H4" s="145" t="s">
        <v>263</v>
      </c>
      <c r="I4" s="145" t="s">
        <v>264</v>
      </c>
    </row>
    <row r="5" spans="1:9" s="32" customFormat="1" ht="21" customHeight="1">
      <c r="A5" s="167" t="s">
        <v>113</v>
      </c>
      <c r="B5" s="167"/>
      <c r="C5" s="167"/>
      <c r="D5" s="167"/>
      <c r="E5" s="167"/>
      <c r="F5" s="167"/>
      <c r="G5" s="167"/>
      <c r="H5" s="167"/>
      <c r="I5" s="167"/>
    </row>
    <row r="6" spans="1:9" s="12" customFormat="1" ht="80.25" customHeight="1">
      <c r="A6" s="124" t="s">
        <v>215</v>
      </c>
      <c r="B6" s="120" t="s">
        <v>3</v>
      </c>
      <c r="C6" s="121">
        <f>C23+C88</f>
        <v>618.3000000000001</v>
      </c>
      <c r="D6" s="121">
        <f aca="true" t="shared" si="0" ref="D6:I6">D23+D88</f>
        <v>777.5</v>
      </c>
      <c r="E6" s="121">
        <f t="shared" si="0"/>
        <v>889.5</v>
      </c>
      <c r="F6" s="121">
        <f t="shared" si="0"/>
        <v>963.4000000000001</v>
      </c>
      <c r="G6" s="121">
        <f t="shared" si="0"/>
        <v>1034.5</v>
      </c>
      <c r="H6" s="121">
        <f t="shared" si="0"/>
        <v>1133.5</v>
      </c>
      <c r="I6" s="121">
        <f t="shared" si="0"/>
        <v>1238.5</v>
      </c>
    </row>
    <row r="7" spans="1:9" s="12" customFormat="1" ht="37.5" customHeight="1">
      <c r="A7" s="125" t="s">
        <v>216</v>
      </c>
      <c r="B7" s="14" t="s">
        <v>5</v>
      </c>
      <c r="C7" s="45">
        <v>95.8</v>
      </c>
      <c r="D7" s="45">
        <f>D6/1.145*100/C6</f>
        <v>109.82359717128313</v>
      </c>
      <c r="E7" s="45">
        <f>E6/1.167*100/D6</f>
        <v>98.03354301159705</v>
      </c>
      <c r="F7" s="45">
        <f>F6/1.058*100/E6</f>
        <v>102.37054652525633</v>
      </c>
      <c r="G7" s="45">
        <f>G6/1.009*100/F6</f>
        <v>106.42231130125732</v>
      </c>
      <c r="H7" s="45">
        <f>H6/1.076*100/G6</f>
        <v>101.83070678685715</v>
      </c>
      <c r="I7" s="45">
        <f>I6/1.062*100/H6</f>
        <v>102.88450435587323</v>
      </c>
    </row>
    <row r="8" spans="1:9" s="12" customFormat="1" ht="18" customHeight="1">
      <c r="A8" s="126" t="s">
        <v>217</v>
      </c>
      <c r="B8" s="14"/>
      <c r="C8" s="45"/>
      <c r="D8" s="45"/>
      <c r="E8" s="46"/>
      <c r="F8" s="46"/>
      <c r="G8" s="46"/>
      <c r="H8" s="46"/>
      <c r="I8" s="46"/>
    </row>
    <row r="9" spans="1:9" ht="19.5" customHeight="1" hidden="1">
      <c r="A9" s="127" t="s">
        <v>218</v>
      </c>
      <c r="B9" s="34"/>
      <c r="C9" s="45"/>
      <c r="D9" s="45"/>
      <c r="E9" s="45"/>
      <c r="F9" s="45"/>
      <c r="G9" s="45"/>
      <c r="H9" s="45"/>
      <c r="I9" s="45"/>
    </row>
    <row r="10" spans="1:9" ht="25.5" hidden="1">
      <c r="A10" s="23" t="s">
        <v>2</v>
      </c>
      <c r="B10" s="14" t="s">
        <v>3</v>
      </c>
      <c r="C10" s="45"/>
      <c r="D10" s="45"/>
      <c r="E10" s="45"/>
      <c r="F10" s="45"/>
      <c r="G10" s="45"/>
      <c r="H10" s="45"/>
      <c r="I10" s="45"/>
    </row>
    <row r="11" spans="1:9" ht="21.75" customHeight="1" hidden="1">
      <c r="A11" s="23" t="s">
        <v>219</v>
      </c>
      <c r="B11" s="14" t="s">
        <v>5</v>
      </c>
      <c r="C11" s="45"/>
      <c r="D11" s="45"/>
      <c r="E11" s="45"/>
      <c r="F11" s="45"/>
      <c r="G11" s="45"/>
      <c r="H11" s="45"/>
      <c r="I11" s="45"/>
    </row>
    <row r="12" spans="1:9" s="7" customFormat="1" ht="47.25" hidden="1">
      <c r="A12" s="23" t="s">
        <v>220</v>
      </c>
      <c r="B12" s="14" t="s">
        <v>6</v>
      </c>
      <c r="C12" s="45"/>
      <c r="D12" s="45"/>
      <c r="E12" s="45"/>
      <c r="F12" s="45"/>
      <c r="G12" s="45"/>
      <c r="H12" s="45"/>
      <c r="I12" s="45"/>
    </row>
    <row r="13" spans="1:9" s="17" customFormat="1" ht="15.75" hidden="1">
      <c r="A13" s="128" t="s">
        <v>83</v>
      </c>
      <c r="B13" s="14"/>
      <c r="C13" s="45"/>
      <c r="D13" s="45"/>
      <c r="E13" s="45"/>
      <c r="F13" s="45"/>
      <c r="G13" s="45"/>
      <c r="H13" s="45"/>
      <c r="I13" s="45"/>
    </row>
    <row r="14" spans="1:9" s="17" customFormat="1" ht="47.25" hidden="1">
      <c r="A14" s="36" t="s">
        <v>90</v>
      </c>
      <c r="B14" s="35"/>
      <c r="C14" s="45"/>
      <c r="D14" s="45"/>
      <c r="E14" s="45"/>
      <c r="F14" s="45"/>
      <c r="G14" s="45"/>
      <c r="H14" s="45"/>
      <c r="I14" s="45"/>
    </row>
    <row r="15" spans="1:9" ht="25.5" hidden="1">
      <c r="A15" s="104" t="s">
        <v>2</v>
      </c>
      <c r="B15" s="14" t="s">
        <v>3</v>
      </c>
      <c r="C15" s="45"/>
      <c r="D15" s="45"/>
      <c r="E15" s="45"/>
      <c r="F15" s="45"/>
      <c r="G15" s="45"/>
      <c r="H15" s="45"/>
      <c r="I15" s="45"/>
    </row>
    <row r="16" spans="1:9" ht="25.5" customHeight="1" hidden="1">
      <c r="A16" s="23" t="s">
        <v>219</v>
      </c>
      <c r="B16" s="14" t="s">
        <v>5</v>
      </c>
      <c r="C16" s="45"/>
      <c r="D16" s="45"/>
      <c r="E16" s="45"/>
      <c r="F16" s="45"/>
      <c r="G16" s="45"/>
      <c r="H16" s="45"/>
      <c r="I16" s="45"/>
    </row>
    <row r="17" spans="1:9" s="7" customFormat="1" ht="47.25" hidden="1">
      <c r="A17" s="104" t="s">
        <v>221</v>
      </c>
      <c r="B17" s="14" t="s">
        <v>6</v>
      </c>
      <c r="C17" s="45"/>
      <c r="D17" s="45"/>
      <c r="E17" s="45"/>
      <c r="F17" s="45"/>
      <c r="G17" s="45"/>
      <c r="H17" s="45"/>
      <c r="I17" s="45"/>
    </row>
    <row r="18" spans="1:9" s="17" customFormat="1" ht="31.5" hidden="1">
      <c r="A18" s="36" t="s">
        <v>91</v>
      </c>
      <c r="B18" s="14"/>
      <c r="C18" s="45"/>
      <c r="D18" s="45"/>
      <c r="E18" s="45"/>
      <c r="F18" s="45"/>
      <c r="G18" s="45"/>
      <c r="H18" s="45"/>
      <c r="I18" s="45"/>
    </row>
    <row r="19" spans="1:9" ht="25.5" hidden="1">
      <c r="A19" s="23" t="s">
        <v>2</v>
      </c>
      <c r="B19" s="14" t="s">
        <v>3</v>
      </c>
      <c r="C19" s="45"/>
      <c r="D19" s="45"/>
      <c r="E19" s="45"/>
      <c r="F19" s="45"/>
      <c r="G19" s="45"/>
      <c r="H19" s="45"/>
      <c r="I19" s="45"/>
    </row>
    <row r="20" spans="1:9" ht="18" customHeight="1" hidden="1">
      <c r="A20" s="23" t="s">
        <v>219</v>
      </c>
      <c r="B20" s="14" t="s">
        <v>5</v>
      </c>
      <c r="C20" s="45"/>
      <c r="D20" s="45"/>
      <c r="E20" s="45"/>
      <c r="F20" s="45"/>
      <c r="G20" s="45"/>
      <c r="H20" s="45"/>
      <c r="I20" s="45"/>
    </row>
    <row r="21" spans="1:9" s="7" customFormat="1" ht="47.25" hidden="1">
      <c r="A21" s="104" t="s">
        <v>221</v>
      </c>
      <c r="B21" s="14" t="s">
        <v>6</v>
      </c>
      <c r="C21" s="45"/>
      <c r="D21" s="45"/>
      <c r="E21" s="45"/>
      <c r="F21" s="45"/>
      <c r="G21" s="45"/>
      <c r="H21" s="45"/>
      <c r="I21" s="45"/>
    </row>
    <row r="22" spans="1:9" ht="15.75">
      <c r="A22" s="160" t="s">
        <v>227</v>
      </c>
      <c r="B22" s="160"/>
      <c r="C22" s="160"/>
      <c r="D22" s="160"/>
      <c r="E22" s="160"/>
      <c r="F22" s="160"/>
      <c r="G22" s="160"/>
      <c r="H22" s="160"/>
      <c r="I22" s="160"/>
    </row>
    <row r="23" spans="1:9" ht="27.75" customHeight="1">
      <c r="A23" s="23" t="s">
        <v>2</v>
      </c>
      <c r="B23" s="14" t="s">
        <v>3</v>
      </c>
      <c r="C23" s="121">
        <f>C28+C32+C36+C40+C44+C48+C52+C56+C60+C64+C68+C72+C76</f>
        <v>346.20000000000005</v>
      </c>
      <c r="D23" s="121">
        <f aca="true" t="shared" si="1" ref="D23:I23">D28+D32+D36+D40+D44+D48+D52+D56+D60+D64+D68+D72+D76</f>
        <v>462.4</v>
      </c>
      <c r="E23" s="121">
        <f t="shared" si="1"/>
        <v>522.7</v>
      </c>
      <c r="F23" s="121">
        <f t="shared" si="1"/>
        <v>577.7</v>
      </c>
      <c r="G23" s="121">
        <f t="shared" si="1"/>
        <v>594</v>
      </c>
      <c r="H23" s="121">
        <f t="shared" si="1"/>
        <v>638.8</v>
      </c>
      <c r="I23" s="121">
        <f t="shared" si="1"/>
        <v>679.7</v>
      </c>
    </row>
    <row r="24" spans="1:9" ht="39" customHeight="1">
      <c r="A24" s="23" t="s">
        <v>219</v>
      </c>
      <c r="B24" s="14" t="s">
        <v>5</v>
      </c>
      <c r="C24" s="45">
        <v>86</v>
      </c>
      <c r="D24" s="45">
        <f>D23/1.42*100/C23</f>
        <v>94.05944622094205</v>
      </c>
      <c r="E24" s="45">
        <f>E23/1.147*100/D23</f>
        <v>98.55331947641358</v>
      </c>
      <c r="F24" s="45">
        <f>F23/1.042*100/E23</f>
        <v>106.06745500900205</v>
      </c>
      <c r="G24" s="45">
        <f>G23/1.033*100/F23</f>
        <v>99.5368186524625</v>
      </c>
      <c r="H24" s="45">
        <f>H23/1.066*100/G23</f>
        <v>100.88375942034477</v>
      </c>
      <c r="I24" s="45">
        <f>I23/1.054*100/H23</f>
        <v>100.95126179423231</v>
      </c>
    </row>
    <row r="25" spans="1:9" s="7" customFormat="1" ht="18.75" customHeight="1">
      <c r="A25" s="23" t="s">
        <v>220</v>
      </c>
      <c r="B25" s="14" t="s">
        <v>6</v>
      </c>
      <c r="C25" s="45">
        <f>C23/C6*100</f>
        <v>55.992236778262985</v>
      </c>
      <c r="D25" s="45">
        <f aca="true" t="shared" si="2" ref="D25:I25">D23/D6*100</f>
        <v>59.472668810289385</v>
      </c>
      <c r="E25" s="45">
        <f t="shared" si="2"/>
        <v>58.76335019673975</v>
      </c>
      <c r="F25" s="45">
        <f t="shared" si="2"/>
        <v>59.964708324683414</v>
      </c>
      <c r="G25" s="45">
        <f t="shared" si="2"/>
        <v>57.41904301594973</v>
      </c>
      <c r="H25" s="45">
        <f t="shared" si="2"/>
        <v>56.35641817379796</v>
      </c>
      <c r="I25" s="45">
        <f t="shared" si="2"/>
        <v>54.88090431974163</v>
      </c>
    </row>
    <row r="26" spans="1:9" s="17" customFormat="1" ht="15.75">
      <c r="A26" s="159" t="s">
        <v>84</v>
      </c>
      <c r="B26" s="159"/>
      <c r="C26" s="159"/>
      <c r="D26" s="159"/>
      <c r="E26" s="159"/>
      <c r="F26" s="159"/>
      <c r="G26" s="159"/>
      <c r="H26" s="159"/>
      <c r="I26" s="159"/>
    </row>
    <row r="27" spans="1:9" s="17" customFormat="1" ht="15.75">
      <c r="A27" s="158" t="s">
        <v>92</v>
      </c>
      <c r="B27" s="158"/>
      <c r="C27" s="158"/>
      <c r="D27" s="158"/>
      <c r="E27" s="158"/>
      <c r="F27" s="158"/>
      <c r="G27" s="158"/>
      <c r="H27" s="158"/>
      <c r="I27" s="158"/>
    </row>
    <row r="28" spans="1:9" ht="30" customHeight="1">
      <c r="A28" s="104" t="s">
        <v>2</v>
      </c>
      <c r="B28" s="14" t="s">
        <v>3</v>
      </c>
      <c r="C28" s="45">
        <v>136.3</v>
      </c>
      <c r="D28" s="45">
        <v>119.6</v>
      </c>
      <c r="E28" s="45">
        <v>158.5</v>
      </c>
      <c r="F28" s="45">
        <v>166.5</v>
      </c>
      <c r="G28" s="45">
        <v>175</v>
      </c>
      <c r="H28" s="45">
        <v>184</v>
      </c>
      <c r="I28" s="45">
        <v>193.2</v>
      </c>
    </row>
    <row r="29" spans="1:9" ht="37.5" customHeight="1">
      <c r="A29" s="23" t="s">
        <v>219</v>
      </c>
      <c r="B29" s="14" t="s">
        <v>5</v>
      </c>
      <c r="C29" s="45">
        <v>84.9</v>
      </c>
      <c r="D29" s="45">
        <f>D28/1.045*100/C28</f>
        <v>83.9690100994499</v>
      </c>
      <c r="E29" s="45">
        <f>E28/1.122*100/D28</f>
        <v>118.11504778256695</v>
      </c>
      <c r="F29" s="45">
        <f>F28/1.037*100/E28</f>
        <v>101.29924649179112</v>
      </c>
      <c r="G29" s="45">
        <f>G28/1.057*100/F28</f>
        <v>99.43718552990077</v>
      </c>
      <c r="H29" s="45">
        <f>H28/1.057*100/G28</f>
        <v>99.47290174347884</v>
      </c>
      <c r="I29" s="45">
        <f>I28/1.048*100/H28</f>
        <v>100.19083969465647</v>
      </c>
    </row>
    <row r="30" spans="1:9" s="7" customFormat="1" ht="45">
      <c r="A30" s="104" t="s">
        <v>222</v>
      </c>
      <c r="B30" s="14" t="s">
        <v>6</v>
      </c>
      <c r="C30" s="45">
        <f>C28/C23*100</f>
        <v>39.370306181398036</v>
      </c>
      <c r="D30" s="45">
        <f aca="true" t="shared" si="3" ref="D30:I30">D28/D23*100</f>
        <v>25.86505190311419</v>
      </c>
      <c r="E30" s="45">
        <f t="shared" si="3"/>
        <v>30.32332121675913</v>
      </c>
      <c r="F30" s="45">
        <f t="shared" si="3"/>
        <v>28.82118746754371</v>
      </c>
      <c r="G30" s="45">
        <f t="shared" si="3"/>
        <v>29.46127946127946</v>
      </c>
      <c r="H30" s="45">
        <f t="shared" si="3"/>
        <v>28.80400751408892</v>
      </c>
      <c r="I30" s="45">
        <f t="shared" si="3"/>
        <v>28.424304840370752</v>
      </c>
    </row>
    <row r="31" spans="1:9" s="17" customFormat="1" ht="18" customHeight="1">
      <c r="A31" s="158" t="s">
        <v>93</v>
      </c>
      <c r="B31" s="158"/>
      <c r="C31" s="158"/>
      <c r="D31" s="158"/>
      <c r="E31" s="158"/>
      <c r="F31" s="158"/>
      <c r="G31" s="158"/>
      <c r="H31" s="158"/>
      <c r="I31" s="158"/>
    </row>
    <row r="32" spans="1:9" ht="29.25" customHeight="1">
      <c r="A32" s="104" t="s">
        <v>2</v>
      </c>
      <c r="B32" s="14" t="s">
        <v>3</v>
      </c>
      <c r="C32" s="45">
        <v>0.5</v>
      </c>
      <c r="D32" s="45">
        <v>0.6</v>
      </c>
      <c r="E32" s="45">
        <v>0.7</v>
      </c>
      <c r="F32" s="45">
        <v>0.8</v>
      </c>
      <c r="G32" s="45">
        <v>0.8</v>
      </c>
      <c r="H32" s="45">
        <v>0.8</v>
      </c>
      <c r="I32" s="45">
        <v>0.8</v>
      </c>
    </row>
    <row r="33" spans="1:9" ht="39.75" customHeight="1">
      <c r="A33" s="23" t="s">
        <v>219</v>
      </c>
      <c r="B33" s="14" t="s">
        <v>5</v>
      </c>
      <c r="C33" s="45">
        <v>88.9</v>
      </c>
      <c r="D33" s="45">
        <f>D32/1.048*100/C32</f>
        <v>114.50381679389312</v>
      </c>
      <c r="E33" s="45">
        <f>E32/1.125*100/D32</f>
        <v>103.70370370370371</v>
      </c>
      <c r="F33" s="45">
        <f>F32/1.063*100/E32</f>
        <v>107.51243112484883</v>
      </c>
      <c r="G33" s="45">
        <f>G32/1.049*100/F32</f>
        <v>95.32888465204958</v>
      </c>
      <c r="H33" s="45">
        <f>H32/1.038*100/G32</f>
        <v>96.33911368015414</v>
      </c>
      <c r="I33" s="45">
        <f>I32/1.034*100/H32</f>
        <v>96.71179883945841</v>
      </c>
    </row>
    <row r="34" spans="1:9" s="7" customFormat="1" ht="16.5" customHeight="1">
      <c r="A34" s="104" t="s">
        <v>222</v>
      </c>
      <c r="B34" s="14" t="s">
        <v>6</v>
      </c>
      <c r="C34" s="45">
        <f>C32/C23*100</f>
        <v>0.14442518775274407</v>
      </c>
      <c r="D34" s="45">
        <f aca="true" t="shared" si="4" ref="D34:I34">D32/D23*100</f>
        <v>0.12975778546712802</v>
      </c>
      <c r="E34" s="45">
        <f t="shared" si="4"/>
        <v>0.1339200306102927</v>
      </c>
      <c r="F34" s="45">
        <f t="shared" si="4"/>
        <v>0.138480180024234</v>
      </c>
      <c r="G34" s="45">
        <f t="shared" si="4"/>
        <v>0.13468013468013468</v>
      </c>
      <c r="H34" s="45">
        <f t="shared" si="4"/>
        <v>0.1252348152786475</v>
      </c>
      <c r="I34" s="45">
        <f t="shared" si="4"/>
        <v>0.1176989848462557</v>
      </c>
    </row>
    <row r="35" spans="1:9" s="17" customFormat="1" ht="31.5" hidden="1">
      <c r="A35" s="36" t="s">
        <v>94</v>
      </c>
      <c r="B35" s="14"/>
      <c r="C35" s="45"/>
      <c r="D35" s="45"/>
      <c r="E35" s="45"/>
      <c r="F35" s="45"/>
      <c r="G35" s="45"/>
      <c r="H35" s="45"/>
      <c r="I35" s="45"/>
    </row>
    <row r="36" spans="1:9" ht="25.5" hidden="1">
      <c r="A36" s="104" t="s">
        <v>2</v>
      </c>
      <c r="B36" s="14" t="s">
        <v>3</v>
      </c>
      <c r="C36" s="45"/>
      <c r="D36" s="45"/>
      <c r="E36" s="45"/>
      <c r="F36" s="45"/>
      <c r="G36" s="45"/>
      <c r="H36" s="45"/>
      <c r="I36" s="45"/>
    </row>
    <row r="37" spans="1:9" ht="24.75" customHeight="1" hidden="1">
      <c r="A37" s="23" t="s">
        <v>219</v>
      </c>
      <c r="B37" s="14" t="s">
        <v>5</v>
      </c>
      <c r="C37" s="45"/>
      <c r="D37" s="45"/>
      <c r="E37" s="45"/>
      <c r="F37" s="45"/>
      <c r="G37" s="45"/>
      <c r="H37" s="45"/>
      <c r="I37" s="45"/>
    </row>
    <row r="38" spans="1:9" s="7" customFormat="1" ht="47.25" hidden="1">
      <c r="A38" s="104" t="s">
        <v>222</v>
      </c>
      <c r="B38" s="14" t="s">
        <v>6</v>
      </c>
      <c r="C38" s="45"/>
      <c r="D38" s="45"/>
      <c r="E38" s="45"/>
      <c r="F38" s="45"/>
      <c r="G38" s="45"/>
      <c r="H38" s="45"/>
      <c r="I38" s="45"/>
    </row>
    <row r="39" spans="1:9" s="17" customFormat="1" ht="17.25" customHeight="1">
      <c r="A39" s="158" t="s">
        <v>95</v>
      </c>
      <c r="B39" s="158"/>
      <c r="C39" s="158"/>
      <c r="D39" s="158"/>
      <c r="E39" s="158"/>
      <c r="F39" s="158"/>
      <c r="G39" s="158"/>
      <c r="H39" s="158"/>
      <c r="I39" s="158"/>
    </row>
    <row r="40" spans="1:9" ht="27" customHeight="1">
      <c r="A40" s="23" t="s">
        <v>2</v>
      </c>
      <c r="B40" s="14" t="s">
        <v>3</v>
      </c>
      <c r="C40" s="45">
        <v>36.1</v>
      </c>
      <c r="D40" s="45">
        <v>27.5</v>
      </c>
      <c r="E40" s="45">
        <v>29.3</v>
      </c>
      <c r="F40" s="45">
        <v>32.5</v>
      </c>
      <c r="G40" s="45">
        <v>34.1</v>
      </c>
      <c r="H40" s="45">
        <v>36.1</v>
      </c>
      <c r="I40" s="45">
        <v>38</v>
      </c>
    </row>
    <row r="41" spans="1:9" ht="39" customHeight="1">
      <c r="A41" s="23" t="s">
        <v>219</v>
      </c>
      <c r="B41" s="14" t="s">
        <v>5</v>
      </c>
      <c r="C41" s="45">
        <v>68.7</v>
      </c>
      <c r="D41" s="45">
        <f>D40/1.076*100/C40</f>
        <v>70.79673356743453</v>
      </c>
      <c r="E41" s="45">
        <f>E40/1.132*100/D40</f>
        <v>94.12142627690332</v>
      </c>
      <c r="F41" s="45">
        <f>F40/1.067*100/E40</f>
        <v>103.95642146812057</v>
      </c>
      <c r="G41" s="45">
        <f>G40/1.071*100/F40</f>
        <v>97.96739208503915</v>
      </c>
      <c r="H41" s="45">
        <f>H40/1.071*100/G40</f>
        <v>98.84696791717666</v>
      </c>
      <c r="I41" s="45">
        <f>I40/1.052*100/H40</f>
        <v>100.06003602161296</v>
      </c>
    </row>
    <row r="42" spans="1:9" s="7" customFormat="1" ht="18" customHeight="1">
      <c r="A42" s="104" t="s">
        <v>222</v>
      </c>
      <c r="B42" s="14" t="s">
        <v>6</v>
      </c>
      <c r="C42" s="45">
        <f>C40/C23*100</f>
        <v>10.427498555748121</v>
      </c>
      <c r="D42" s="45">
        <f aca="true" t="shared" si="5" ref="D42:I42">D40/D23*100</f>
        <v>5.947231833910035</v>
      </c>
      <c r="E42" s="45">
        <f t="shared" si="5"/>
        <v>5.605509852687966</v>
      </c>
      <c r="F42" s="45">
        <f t="shared" si="5"/>
        <v>5.625757313484507</v>
      </c>
      <c r="G42" s="45">
        <f t="shared" si="5"/>
        <v>5.7407407407407405</v>
      </c>
      <c r="H42" s="45">
        <f t="shared" si="5"/>
        <v>5.651221039448968</v>
      </c>
      <c r="I42" s="45">
        <f t="shared" si="5"/>
        <v>5.590701780197145</v>
      </c>
    </row>
    <row r="43" spans="1:9" s="17" customFormat="1" ht="15.75" customHeight="1">
      <c r="A43" s="158" t="s">
        <v>96</v>
      </c>
      <c r="B43" s="158"/>
      <c r="C43" s="158"/>
      <c r="D43" s="158"/>
      <c r="E43" s="158"/>
      <c r="F43" s="158"/>
      <c r="G43" s="158"/>
      <c r="H43" s="158"/>
      <c r="I43" s="158"/>
    </row>
    <row r="44" spans="1:9" ht="29.25" customHeight="1">
      <c r="A44" s="104" t="s">
        <v>2</v>
      </c>
      <c r="B44" s="14" t="s">
        <v>3</v>
      </c>
      <c r="C44" s="45">
        <v>3.3</v>
      </c>
      <c r="D44" s="45">
        <v>4.7</v>
      </c>
      <c r="E44" s="45">
        <v>4.3</v>
      </c>
      <c r="F44" s="45">
        <v>4.5</v>
      </c>
      <c r="G44" s="45">
        <v>4.7</v>
      </c>
      <c r="H44" s="45">
        <v>4.7</v>
      </c>
      <c r="I44" s="45">
        <v>4.8</v>
      </c>
    </row>
    <row r="45" spans="1:9" ht="39.75" customHeight="1">
      <c r="A45" s="23" t="s">
        <v>219</v>
      </c>
      <c r="B45" s="14" t="s">
        <v>5</v>
      </c>
      <c r="C45" s="45">
        <v>106</v>
      </c>
      <c r="D45" s="45">
        <f>D44/1.41*100/C44</f>
        <v>101.01010101010102</v>
      </c>
      <c r="E45" s="45">
        <f>E44/0.96*100/D44</f>
        <v>95.30141843971631</v>
      </c>
      <c r="F45" s="45">
        <f>F44/1.053*100/E44</f>
        <v>99.38382031405288</v>
      </c>
      <c r="G45" s="45">
        <f>G44/1.066*100/F44</f>
        <v>97.97790285595163</v>
      </c>
      <c r="H45" s="45">
        <f>H44/1.062*100/G44</f>
        <v>94.16195856873821</v>
      </c>
      <c r="I45" s="45">
        <f>I44/1.048*100/H44</f>
        <v>97.45005684586648</v>
      </c>
    </row>
    <row r="46" spans="1:9" s="7" customFormat="1" ht="45">
      <c r="A46" s="104" t="s">
        <v>222</v>
      </c>
      <c r="B46" s="14" t="s">
        <v>6</v>
      </c>
      <c r="C46" s="45">
        <f>C44/C23*100</f>
        <v>0.9532062391681106</v>
      </c>
      <c r="D46" s="45">
        <f aca="true" t="shared" si="6" ref="D46:I46">D44/D23*100</f>
        <v>1.0164359861591696</v>
      </c>
      <c r="E46" s="45">
        <f t="shared" si="6"/>
        <v>0.8226516166060837</v>
      </c>
      <c r="F46" s="45">
        <f t="shared" si="6"/>
        <v>0.7789510126363164</v>
      </c>
      <c r="G46" s="45">
        <f t="shared" si="6"/>
        <v>0.7912457912457913</v>
      </c>
      <c r="H46" s="45">
        <f t="shared" si="6"/>
        <v>0.7357545397620538</v>
      </c>
      <c r="I46" s="45">
        <f t="shared" si="6"/>
        <v>0.7061939090775341</v>
      </c>
    </row>
    <row r="47" spans="1:9" s="17" customFormat="1" ht="31.5" hidden="1">
      <c r="A47" s="35" t="s">
        <v>155</v>
      </c>
      <c r="B47" s="14"/>
      <c r="C47" s="45"/>
      <c r="D47" s="45"/>
      <c r="E47" s="45"/>
      <c r="F47" s="45"/>
      <c r="G47" s="45"/>
      <c r="H47" s="45"/>
      <c r="I47" s="45"/>
    </row>
    <row r="48" spans="1:9" ht="25.5" hidden="1">
      <c r="A48" s="104" t="s">
        <v>2</v>
      </c>
      <c r="B48" s="14" t="s">
        <v>3</v>
      </c>
      <c r="C48" s="45"/>
      <c r="D48" s="45"/>
      <c r="E48" s="45"/>
      <c r="F48" s="45"/>
      <c r="G48" s="45"/>
      <c r="H48" s="45"/>
      <c r="I48" s="45"/>
    </row>
    <row r="49" spans="1:9" ht="24.75" customHeight="1" hidden="1">
      <c r="A49" s="104" t="s">
        <v>4</v>
      </c>
      <c r="B49" s="14" t="s">
        <v>5</v>
      </c>
      <c r="C49" s="45"/>
      <c r="D49" s="45"/>
      <c r="E49" s="45"/>
      <c r="F49" s="45"/>
      <c r="G49" s="45"/>
      <c r="H49" s="45"/>
      <c r="I49" s="45"/>
    </row>
    <row r="50" spans="1:9" s="7" customFormat="1" ht="47.25" hidden="1">
      <c r="A50" s="104" t="s">
        <v>222</v>
      </c>
      <c r="B50" s="14" t="s">
        <v>6</v>
      </c>
      <c r="C50" s="45"/>
      <c r="D50" s="45"/>
      <c r="E50" s="45"/>
      <c r="F50" s="45"/>
      <c r="G50" s="45"/>
      <c r="H50" s="45"/>
      <c r="I50" s="45"/>
    </row>
    <row r="51" spans="1:9" s="17" customFormat="1" ht="31.5" hidden="1">
      <c r="A51" s="36" t="s">
        <v>97</v>
      </c>
      <c r="B51" s="14"/>
      <c r="C51" s="45"/>
      <c r="D51" s="45"/>
      <c r="E51" s="45"/>
      <c r="F51" s="45"/>
      <c r="G51" s="45"/>
      <c r="H51" s="45"/>
      <c r="I51" s="45"/>
    </row>
    <row r="52" spans="1:9" ht="25.5" hidden="1">
      <c r="A52" s="104" t="s">
        <v>2</v>
      </c>
      <c r="B52" s="14" t="s">
        <v>3</v>
      </c>
      <c r="C52" s="45"/>
      <c r="D52" s="45"/>
      <c r="E52" s="45"/>
      <c r="F52" s="45"/>
      <c r="G52" s="45"/>
      <c r="H52" s="45"/>
      <c r="I52" s="45"/>
    </row>
    <row r="53" spans="1:9" ht="19.5" customHeight="1" hidden="1">
      <c r="A53" s="23" t="s">
        <v>219</v>
      </c>
      <c r="B53" s="14" t="s">
        <v>5</v>
      </c>
      <c r="C53" s="45"/>
      <c r="D53" s="45"/>
      <c r="E53" s="45"/>
      <c r="F53" s="45"/>
      <c r="G53" s="45"/>
      <c r="H53" s="45"/>
      <c r="I53" s="45"/>
    </row>
    <row r="54" spans="1:9" s="7" customFormat="1" ht="16.5" customHeight="1" hidden="1">
      <c r="A54" s="104" t="s">
        <v>222</v>
      </c>
      <c r="B54" s="14" t="s">
        <v>6</v>
      </c>
      <c r="C54" s="45"/>
      <c r="D54" s="45"/>
      <c r="E54" s="45"/>
      <c r="F54" s="45"/>
      <c r="G54" s="45"/>
      <c r="H54" s="45"/>
      <c r="I54" s="45"/>
    </row>
    <row r="55" spans="1:9" s="17" customFormat="1" ht="47.25" hidden="1">
      <c r="A55" s="36" t="s">
        <v>98</v>
      </c>
      <c r="B55" s="14"/>
      <c r="C55" s="45"/>
      <c r="D55" s="45"/>
      <c r="E55" s="45"/>
      <c r="F55" s="45"/>
      <c r="G55" s="45"/>
      <c r="H55" s="45"/>
      <c r="I55" s="45"/>
    </row>
    <row r="56" spans="1:9" ht="25.5" hidden="1">
      <c r="A56" s="104" t="s">
        <v>2</v>
      </c>
      <c r="B56" s="14" t="s">
        <v>3</v>
      </c>
      <c r="C56" s="45"/>
      <c r="D56" s="45"/>
      <c r="E56" s="45"/>
      <c r="F56" s="45"/>
      <c r="G56" s="45"/>
      <c r="H56" s="45"/>
      <c r="I56" s="45"/>
    </row>
    <row r="57" spans="1:9" ht="22.5" customHeight="1" hidden="1">
      <c r="A57" s="23" t="s">
        <v>219</v>
      </c>
      <c r="B57" s="14" t="s">
        <v>5</v>
      </c>
      <c r="C57" s="45"/>
      <c r="D57" s="45"/>
      <c r="E57" s="45"/>
      <c r="F57" s="45"/>
      <c r="G57" s="45"/>
      <c r="H57" s="45"/>
      <c r="I57" s="45"/>
    </row>
    <row r="58" spans="1:9" s="7" customFormat="1" ht="47.25" hidden="1">
      <c r="A58" s="104" t="s">
        <v>222</v>
      </c>
      <c r="B58" s="14" t="s">
        <v>6</v>
      </c>
      <c r="C58" s="45"/>
      <c r="D58" s="45"/>
      <c r="E58" s="45"/>
      <c r="F58" s="45"/>
      <c r="G58" s="45"/>
      <c r="H58" s="45"/>
      <c r="I58" s="45"/>
    </row>
    <row r="59" spans="1:9" s="17" customFormat="1" ht="47.25" hidden="1">
      <c r="A59" s="36" t="s">
        <v>99</v>
      </c>
      <c r="B59" s="14"/>
      <c r="C59" s="45"/>
      <c r="D59" s="45"/>
      <c r="E59" s="45"/>
      <c r="F59" s="45"/>
      <c r="G59" s="45"/>
      <c r="H59" s="45"/>
      <c r="I59" s="45"/>
    </row>
    <row r="60" spans="1:9" ht="25.5" hidden="1">
      <c r="A60" s="104" t="s">
        <v>2</v>
      </c>
      <c r="B60" s="14" t="s">
        <v>3</v>
      </c>
      <c r="C60" s="45"/>
      <c r="D60" s="45"/>
      <c r="E60" s="45"/>
      <c r="F60" s="45"/>
      <c r="G60" s="45"/>
      <c r="H60" s="45"/>
      <c r="I60" s="45"/>
    </row>
    <row r="61" spans="1:9" ht="21" customHeight="1" hidden="1">
      <c r="A61" s="23" t="s">
        <v>219</v>
      </c>
      <c r="B61" s="14" t="s">
        <v>5</v>
      </c>
      <c r="C61" s="45"/>
      <c r="D61" s="45"/>
      <c r="E61" s="45"/>
      <c r="F61" s="45"/>
      <c r="G61" s="45"/>
      <c r="H61" s="45"/>
      <c r="I61" s="45"/>
    </row>
    <row r="62" spans="1:9" s="7" customFormat="1" ht="47.25" hidden="1">
      <c r="A62" s="104" t="s">
        <v>222</v>
      </c>
      <c r="B62" s="14" t="s">
        <v>6</v>
      </c>
      <c r="C62" s="45"/>
      <c r="D62" s="45"/>
      <c r="E62" s="45"/>
      <c r="F62" s="45"/>
      <c r="G62" s="45"/>
      <c r="H62" s="45"/>
      <c r="I62" s="45"/>
    </row>
    <row r="63" spans="1:9" s="17" customFormat="1" ht="18" customHeight="1">
      <c r="A63" s="158" t="s">
        <v>100</v>
      </c>
      <c r="B63" s="158"/>
      <c r="C63" s="158"/>
      <c r="D63" s="158"/>
      <c r="E63" s="158"/>
      <c r="F63" s="158"/>
      <c r="G63" s="158"/>
      <c r="H63" s="158"/>
      <c r="I63" s="158"/>
    </row>
    <row r="64" spans="1:9" ht="30" customHeight="1">
      <c r="A64" s="104" t="s">
        <v>2</v>
      </c>
      <c r="B64" s="14" t="s">
        <v>3</v>
      </c>
      <c r="C64" s="45">
        <v>7.9</v>
      </c>
      <c r="D64" s="45">
        <v>28.8</v>
      </c>
      <c r="E64" s="45">
        <v>33.8</v>
      </c>
      <c r="F64" s="45">
        <v>38.3</v>
      </c>
      <c r="G64" s="45">
        <v>38.9</v>
      </c>
      <c r="H64" s="45">
        <v>42.4</v>
      </c>
      <c r="I64" s="45">
        <v>45.4</v>
      </c>
    </row>
    <row r="65" spans="1:9" ht="38.25" customHeight="1">
      <c r="A65" s="104" t="s">
        <v>4</v>
      </c>
      <c r="B65" s="14" t="s">
        <v>5</v>
      </c>
      <c r="C65" s="45">
        <v>51.2</v>
      </c>
      <c r="D65" s="45">
        <f>D64/1.065*100/C64</f>
        <v>342.30700659654127</v>
      </c>
      <c r="E65" s="45">
        <f>E64/1.25*100/D64</f>
        <v>93.88888888888889</v>
      </c>
      <c r="F65" s="45">
        <f>F64/1.038*100/E64</f>
        <v>109.16532703993798</v>
      </c>
      <c r="G65" s="45">
        <f>G64/1.071*100/F64</f>
        <v>94.83340768857587</v>
      </c>
      <c r="H65" s="45">
        <f>H64/1.063*100/G64</f>
        <v>102.53756284657817</v>
      </c>
      <c r="I65" s="45">
        <f>I64/1.061*100/H64</f>
        <v>100.91938897088897</v>
      </c>
    </row>
    <row r="66" spans="1:9" s="7" customFormat="1" ht="19.5" customHeight="1">
      <c r="A66" s="104" t="s">
        <v>222</v>
      </c>
      <c r="B66" s="14" t="s">
        <v>6</v>
      </c>
      <c r="C66" s="45">
        <f>C64/C23*100</f>
        <v>2.281917966493356</v>
      </c>
      <c r="D66" s="45">
        <f aca="true" t="shared" si="7" ref="D66:I66">D64/D23*100</f>
        <v>6.228373702422146</v>
      </c>
      <c r="E66" s="45">
        <f t="shared" si="7"/>
        <v>6.466424335182704</v>
      </c>
      <c r="F66" s="45">
        <f t="shared" si="7"/>
        <v>6.629738618660204</v>
      </c>
      <c r="G66" s="45">
        <f t="shared" si="7"/>
        <v>6.548821548821548</v>
      </c>
      <c r="H66" s="45">
        <f t="shared" si="7"/>
        <v>6.637445209768315</v>
      </c>
      <c r="I66" s="45">
        <f t="shared" si="7"/>
        <v>6.6794173900250104</v>
      </c>
    </row>
    <row r="67" spans="1:9" s="17" customFormat="1" ht="66" hidden="1">
      <c r="A67" s="36" t="s">
        <v>101</v>
      </c>
      <c r="B67" s="14"/>
      <c r="C67" s="45"/>
      <c r="D67" s="45"/>
      <c r="E67" s="45"/>
      <c r="F67" s="45"/>
      <c r="G67" s="45"/>
      <c r="H67" s="45"/>
      <c r="I67" s="45"/>
    </row>
    <row r="68" spans="1:9" ht="25.5" hidden="1">
      <c r="A68" s="104" t="s">
        <v>2</v>
      </c>
      <c r="B68" s="14" t="s">
        <v>3</v>
      </c>
      <c r="C68" s="45"/>
      <c r="D68" s="45"/>
      <c r="E68" s="45"/>
      <c r="F68" s="45"/>
      <c r="G68" s="45"/>
      <c r="H68" s="45"/>
      <c r="I68" s="45"/>
    </row>
    <row r="69" spans="1:9" ht="24.75" customHeight="1" hidden="1">
      <c r="A69" s="23" t="s">
        <v>219</v>
      </c>
      <c r="B69" s="14" t="s">
        <v>5</v>
      </c>
      <c r="C69" s="45"/>
      <c r="D69" s="45"/>
      <c r="E69" s="45"/>
      <c r="F69" s="45"/>
      <c r="G69" s="45"/>
      <c r="H69" s="45"/>
      <c r="I69" s="45"/>
    </row>
    <row r="70" spans="1:9" s="7" customFormat="1" ht="47.25" hidden="1">
      <c r="A70" s="104" t="s">
        <v>222</v>
      </c>
      <c r="B70" s="14" t="s">
        <v>6</v>
      </c>
      <c r="C70" s="45"/>
      <c r="D70" s="45"/>
      <c r="E70" s="45"/>
      <c r="F70" s="45"/>
      <c r="G70" s="45"/>
      <c r="H70" s="45"/>
      <c r="I70" s="45"/>
    </row>
    <row r="71" spans="1:9" s="17" customFormat="1" ht="18.75" customHeight="1">
      <c r="A71" s="158" t="s">
        <v>271</v>
      </c>
      <c r="B71" s="158"/>
      <c r="C71" s="158"/>
      <c r="D71" s="158"/>
      <c r="E71" s="158"/>
      <c r="F71" s="158"/>
      <c r="G71" s="158"/>
      <c r="H71" s="158"/>
      <c r="I71" s="158"/>
    </row>
    <row r="72" spans="1:9" ht="30" customHeight="1">
      <c r="A72" s="104" t="s">
        <v>2</v>
      </c>
      <c r="B72" s="14" t="s">
        <v>3</v>
      </c>
      <c r="C72" s="45">
        <v>162.1</v>
      </c>
      <c r="D72" s="45">
        <v>281.2</v>
      </c>
      <c r="E72" s="45">
        <v>296</v>
      </c>
      <c r="F72" s="45">
        <v>335.1</v>
      </c>
      <c r="G72" s="150">
        <v>340.5</v>
      </c>
      <c r="H72" s="45">
        <v>370.8</v>
      </c>
      <c r="I72" s="45">
        <v>397.5</v>
      </c>
    </row>
    <row r="73" spans="1:9" ht="37.5" customHeight="1">
      <c r="A73" s="23" t="s">
        <v>219</v>
      </c>
      <c r="B73" s="14" t="s">
        <v>5</v>
      </c>
      <c r="C73" s="45">
        <v>74.9</v>
      </c>
      <c r="D73" s="45">
        <f>D72/1.07*100/C72</f>
        <v>162.12445300293462</v>
      </c>
      <c r="E73" s="45">
        <f>E72/1.119*100/D72</f>
        <v>94.06895254221345</v>
      </c>
      <c r="F73" s="45">
        <f>F72/1.059*100/E72</f>
        <v>106.90222800704389</v>
      </c>
      <c r="G73" s="45">
        <f>G72/1.07*100/F72</f>
        <v>94.96398062232782</v>
      </c>
      <c r="H73" s="45">
        <f>H72/1.063*100/G72</f>
        <v>102.44466454759825</v>
      </c>
      <c r="I73" s="45">
        <f>I72/1.051*100/H72</f>
        <v>101.99871289171355</v>
      </c>
    </row>
    <row r="74" spans="1:9" s="7" customFormat="1" ht="45">
      <c r="A74" s="104" t="s">
        <v>222</v>
      </c>
      <c r="B74" s="14" t="s">
        <v>6</v>
      </c>
      <c r="C74" s="45">
        <f>C72/C23*100</f>
        <v>46.82264586943962</v>
      </c>
      <c r="D74" s="45">
        <f aca="true" t="shared" si="8" ref="D74:I74">D72/D23*100</f>
        <v>60.81314878892734</v>
      </c>
      <c r="E74" s="45">
        <f t="shared" si="8"/>
        <v>56.62904151520949</v>
      </c>
      <c r="F74" s="45">
        <f t="shared" si="8"/>
        <v>58.00588540765103</v>
      </c>
      <c r="G74" s="45">
        <f t="shared" si="8"/>
        <v>57.32323232323232</v>
      </c>
      <c r="H74" s="45">
        <f t="shared" si="8"/>
        <v>58.046336881653104</v>
      </c>
      <c r="I74" s="45">
        <f t="shared" si="8"/>
        <v>58.48168309548329</v>
      </c>
    </row>
    <row r="75" spans="1:9" s="17" customFormat="1" ht="15.75" customHeight="1">
      <c r="A75" s="158" t="s">
        <v>102</v>
      </c>
      <c r="B75" s="158"/>
      <c r="C75" s="158"/>
      <c r="D75" s="158"/>
      <c r="E75" s="158"/>
      <c r="F75" s="158"/>
      <c r="G75" s="158"/>
      <c r="H75" s="158"/>
      <c r="I75" s="158"/>
    </row>
    <row r="76" spans="1:10" ht="25.5" customHeight="1">
      <c r="A76" s="104" t="s">
        <v>2</v>
      </c>
      <c r="B76" s="14" t="s">
        <v>3</v>
      </c>
      <c r="C76" s="45">
        <v>0</v>
      </c>
      <c r="D76" s="45">
        <v>0</v>
      </c>
      <c r="E76" s="45">
        <v>0.1</v>
      </c>
      <c r="F76" s="45">
        <v>0</v>
      </c>
      <c r="G76" s="45">
        <v>0</v>
      </c>
      <c r="H76" s="45">
        <v>0</v>
      </c>
      <c r="I76" s="45">
        <v>0</v>
      </c>
      <c r="J76" s="42"/>
    </row>
    <row r="77" spans="1:9" ht="40.5" customHeight="1">
      <c r="A77" s="23" t="s">
        <v>219</v>
      </c>
      <c r="B77" s="14" t="s">
        <v>5</v>
      </c>
      <c r="C77" s="45">
        <v>0</v>
      </c>
      <c r="D77" s="45">
        <v>0</v>
      </c>
      <c r="E77" s="45"/>
      <c r="F77" s="45">
        <v>0</v>
      </c>
      <c r="G77" s="45">
        <v>0</v>
      </c>
      <c r="H77" s="45">
        <v>0</v>
      </c>
      <c r="I77" s="45">
        <v>0</v>
      </c>
    </row>
    <row r="78" spans="1:9" s="7" customFormat="1" ht="18" customHeight="1">
      <c r="A78" s="104" t="s">
        <v>222</v>
      </c>
      <c r="B78" s="14" t="s">
        <v>6</v>
      </c>
      <c r="C78" s="45">
        <f>C76/C23*100</f>
        <v>0</v>
      </c>
      <c r="D78" s="45">
        <f aca="true" t="shared" si="9" ref="D78:I78">D76/D23*100</f>
        <v>0</v>
      </c>
      <c r="E78" s="45">
        <f t="shared" si="9"/>
        <v>0.01913143294432753</v>
      </c>
      <c r="F78" s="45">
        <f t="shared" si="9"/>
        <v>0</v>
      </c>
      <c r="G78" s="45">
        <f t="shared" si="9"/>
        <v>0</v>
      </c>
      <c r="H78" s="45">
        <f t="shared" si="9"/>
        <v>0</v>
      </c>
      <c r="I78" s="45">
        <f t="shared" si="9"/>
        <v>0</v>
      </c>
    </row>
    <row r="79" spans="1:9" s="17" customFormat="1" ht="15.75" hidden="1">
      <c r="A79" s="35" t="s">
        <v>85</v>
      </c>
      <c r="B79" s="14"/>
      <c r="C79" s="45"/>
      <c r="D79" s="45"/>
      <c r="E79" s="45"/>
      <c r="F79" s="45"/>
      <c r="G79" s="45"/>
      <c r="H79" s="45"/>
      <c r="I79" s="45"/>
    </row>
    <row r="80" spans="1:9" ht="25.5" hidden="1">
      <c r="A80" s="104" t="s">
        <v>2</v>
      </c>
      <c r="B80" s="14" t="s">
        <v>3</v>
      </c>
      <c r="C80" s="45"/>
      <c r="D80" s="45"/>
      <c r="E80" s="45"/>
      <c r="F80" s="45"/>
      <c r="G80" s="45"/>
      <c r="H80" s="45"/>
      <c r="I80" s="45"/>
    </row>
    <row r="81" spans="1:9" ht="27" customHeight="1" hidden="1">
      <c r="A81" s="23" t="s">
        <v>219</v>
      </c>
      <c r="B81" s="14" t="s">
        <v>5</v>
      </c>
      <c r="C81" s="45"/>
      <c r="D81" s="45"/>
      <c r="E81" s="45"/>
      <c r="F81" s="45"/>
      <c r="G81" s="45"/>
      <c r="H81" s="45"/>
      <c r="I81" s="45"/>
    </row>
    <row r="82" spans="1:9" s="7" customFormat="1" ht="47.25" hidden="1">
      <c r="A82" s="104" t="s">
        <v>222</v>
      </c>
      <c r="B82" s="14" t="s">
        <v>6</v>
      </c>
      <c r="C82" s="45"/>
      <c r="D82" s="45"/>
      <c r="E82" s="45"/>
      <c r="F82" s="45"/>
      <c r="G82" s="45"/>
      <c r="H82" s="45"/>
      <c r="I82" s="45"/>
    </row>
    <row r="83" spans="1:9" s="17" customFormat="1" ht="31.5" hidden="1">
      <c r="A83" s="35" t="s">
        <v>86</v>
      </c>
      <c r="B83" s="14"/>
      <c r="C83" s="45"/>
      <c r="D83" s="45"/>
      <c r="E83" s="45"/>
      <c r="F83" s="45"/>
      <c r="G83" s="45"/>
      <c r="H83" s="45"/>
      <c r="I83" s="45"/>
    </row>
    <row r="84" spans="1:9" ht="25.5" hidden="1">
      <c r="A84" s="23" t="s">
        <v>2</v>
      </c>
      <c r="B84" s="14" t="s">
        <v>3</v>
      </c>
      <c r="C84" s="45"/>
      <c r="D84" s="45"/>
      <c r="E84" s="45"/>
      <c r="F84" s="45"/>
      <c r="G84" s="45"/>
      <c r="H84" s="45"/>
      <c r="I84" s="45"/>
    </row>
    <row r="85" spans="1:9" ht="25.5" customHeight="1" hidden="1">
      <c r="A85" s="23" t="s">
        <v>4</v>
      </c>
      <c r="B85" s="14" t="s">
        <v>5</v>
      </c>
      <c r="C85" s="45"/>
      <c r="D85" s="45"/>
      <c r="E85" s="45"/>
      <c r="F85" s="45"/>
      <c r="G85" s="45"/>
      <c r="H85" s="45"/>
      <c r="I85" s="45"/>
    </row>
    <row r="86" spans="1:9" s="7" customFormat="1" ht="47.25" hidden="1">
      <c r="A86" s="104" t="s">
        <v>222</v>
      </c>
      <c r="B86" s="14" t="s">
        <v>6</v>
      </c>
      <c r="C86" s="45"/>
      <c r="D86" s="45"/>
      <c r="E86" s="45"/>
      <c r="F86" s="45"/>
      <c r="G86" s="45"/>
      <c r="H86" s="45"/>
      <c r="I86" s="45"/>
    </row>
    <row r="87" spans="1:9" ht="17.25" customHeight="1">
      <c r="A87" s="160" t="s">
        <v>228</v>
      </c>
      <c r="B87" s="160"/>
      <c r="C87" s="160"/>
      <c r="D87" s="160"/>
      <c r="E87" s="160"/>
      <c r="F87" s="160"/>
      <c r="G87" s="160"/>
      <c r="H87" s="160"/>
      <c r="I87" s="160"/>
    </row>
    <row r="88" spans="1:9" ht="29.25" customHeight="1">
      <c r="A88" s="23" t="s">
        <v>2</v>
      </c>
      <c r="B88" s="14" t="s">
        <v>3</v>
      </c>
      <c r="C88" s="121">
        <v>272.1</v>
      </c>
      <c r="D88" s="121">
        <v>315.1</v>
      </c>
      <c r="E88" s="121">
        <v>366.8</v>
      </c>
      <c r="F88" s="121">
        <v>385.7</v>
      </c>
      <c r="G88" s="121">
        <v>440.5</v>
      </c>
      <c r="H88" s="121">
        <v>494.7</v>
      </c>
      <c r="I88" s="121">
        <v>558.8</v>
      </c>
    </row>
    <row r="89" spans="1:9" ht="42" customHeight="1">
      <c r="A89" s="23" t="s">
        <v>219</v>
      </c>
      <c r="B89" s="14" t="s">
        <v>5</v>
      </c>
      <c r="C89" s="45">
        <v>94</v>
      </c>
      <c r="D89" s="45">
        <f>D88/1.147*100/C88</f>
        <v>100.96165091363726</v>
      </c>
      <c r="E89" s="45">
        <f>E88/1.121*100/D88</f>
        <v>103.84254209260841</v>
      </c>
      <c r="F89" s="45">
        <f>F88/1.045*100/E88</f>
        <v>100.62456627342124</v>
      </c>
      <c r="G89" s="45">
        <f>G88/1.122*100/F88</f>
        <v>101.78960216325434</v>
      </c>
      <c r="H89" s="45">
        <f>H88/1.109*100/G88</f>
        <v>101.26618554822835</v>
      </c>
      <c r="I89" s="45">
        <f>I88/1.117*100/H88</f>
        <v>101.12564716885285</v>
      </c>
    </row>
    <row r="90" spans="1:9" s="7" customFormat="1" ht="18" customHeight="1">
      <c r="A90" s="23" t="s">
        <v>220</v>
      </c>
      <c r="B90" s="14" t="s">
        <v>6</v>
      </c>
      <c r="C90" s="45">
        <f>C88/C6*100</f>
        <v>44.007763221737015</v>
      </c>
      <c r="D90" s="45">
        <f aca="true" t="shared" si="10" ref="D90:I90">D88/D6*100</f>
        <v>40.527331189710615</v>
      </c>
      <c r="E90" s="45">
        <f t="shared" si="10"/>
        <v>41.23664980326026</v>
      </c>
      <c r="F90" s="45">
        <f t="shared" si="10"/>
        <v>40.03529167531658</v>
      </c>
      <c r="G90" s="45">
        <f t="shared" si="10"/>
        <v>42.58095698405027</v>
      </c>
      <c r="H90" s="45">
        <f t="shared" si="10"/>
        <v>43.64358182620202</v>
      </c>
      <c r="I90" s="45">
        <f t="shared" si="10"/>
        <v>45.119095680258376</v>
      </c>
    </row>
    <row r="91" spans="1:9" s="17" customFormat="1" ht="15.75">
      <c r="A91" s="159" t="s">
        <v>87</v>
      </c>
      <c r="B91" s="159"/>
      <c r="C91" s="159"/>
      <c r="D91" s="159"/>
      <c r="E91" s="159"/>
      <c r="F91" s="159"/>
      <c r="G91" s="159"/>
      <c r="H91" s="159"/>
      <c r="I91" s="159"/>
    </row>
    <row r="92" spans="1:9" s="17" customFormat="1" ht="18" customHeight="1">
      <c r="A92" s="171" t="s">
        <v>153</v>
      </c>
      <c r="B92" s="171"/>
      <c r="C92" s="171"/>
      <c r="D92" s="171"/>
      <c r="E92" s="171"/>
      <c r="F92" s="171"/>
      <c r="G92" s="171"/>
      <c r="H92" s="171"/>
      <c r="I92" s="171"/>
    </row>
    <row r="93" spans="1:9" ht="29.25" customHeight="1">
      <c r="A93" s="23" t="s">
        <v>2</v>
      </c>
      <c r="B93" s="14" t="s">
        <v>3</v>
      </c>
      <c r="C93" s="45">
        <v>236.3</v>
      </c>
      <c r="D93" s="45">
        <v>275.4</v>
      </c>
      <c r="E93" s="45">
        <v>320.2</v>
      </c>
      <c r="F93" s="45">
        <v>336.4</v>
      </c>
      <c r="G93" s="45">
        <v>384.2</v>
      </c>
      <c r="H93" s="45">
        <v>431.8</v>
      </c>
      <c r="I93" s="45">
        <v>488.3</v>
      </c>
    </row>
    <row r="94" spans="1:9" ht="39.75" customHeight="1">
      <c r="A94" s="23" t="s">
        <v>219</v>
      </c>
      <c r="B94" s="14" t="s">
        <v>5</v>
      </c>
      <c r="C94" s="45">
        <v>94</v>
      </c>
      <c r="D94" s="45">
        <f>D93/1.147*100/C93</f>
        <v>101.61008072356411</v>
      </c>
      <c r="E94" s="45">
        <f>E93/1.121*100/D93</f>
        <v>103.7174376804609</v>
      </c>
      <c r="F94" s="45">
        <f>F93/1.045*100/E93</f>
        <v>100.53525159215683</v>
      </c>
      <c r="G94" s="45">
        <f>G93/1.122*100/F93</f>
        <v>101.79079739127302</v>
      </c>
      <c r="H94" s="45">
        <f>H93/1.109*100/G93</f>
        <v>101.34299416679302</v>
      </c>
      <c r="I94" s="45">
        <f>I93/1.117*100/H93</f>
        <v>101.23971482868448</v>
      </c>
    </row>
    <row r="95" spans="1:9" s="7" customFormat="1" ht="15" customHeight="1">
      <c r="A95" s="104" t="s">
        <v>223</v>
      </c>
      <c r="B95" s="14" t="s">
        <v>6</v>
      </c>
      <c r="C95" s="45">
        <f>C93/C88*100</f>
        <v>86.843072399853</v>
      </c>
      <c r="D95" s="45">
        <f aca="true" t="shared" si="11" ref="D95:I95">D93/D88*100</f>
        <v>87.4008251348778</v>
      </c>
      <c r="E95" s="45">
        <f t="shared" si="11"/>
        <v>87.29552889858233</v>
      </c>
      <c r="F95" s="45">
        <f t="shared" si="11"/>
        <v>87.21804511278195</v>
      </c>
      <c r="G95" s="45">
        <f t="shared" si="11"/>
        <v>87.21906923950057</v>
      </c>
      <c r="H95" s="45">
        <f t="shared" si="11"/>
        <v>87.2852233676976</v>
      </c>
      <c r="I95" s="45">
        <f t="shared" si="11"/>
        <v>87.38367931281317</v>
      </c>
    </row>
    <row r="96" spans="1:9" s="17" customFormat="1" ht="18.75" customHeight="1">
      <c r="A96" s="171" t="s">
        <v>154</v>
      </c>
      <c r="B96" s="171"/>
      <c r="C96" s="171"/>
      <c r="D96" s="171"/>
      <c r="E96" s="171"/>
      <c r="F96" s="171"/>
      <c r="G96" s="171"/>
      <c r="H96" s="171"/>
      <c r="I96" s="171"/>
    </row>
    <row r="97" spans="1:9" ht="30" customHeight="1">
      <c r="A97" s="23" t="s">
        <v>2</v>
      </c>
      <c r="B97" s="14" t="s">
        <v>3</v>
      </c>
      <c r="C97" s="45">
        <v>35.8</v>
      </c>
      <c r="D97" s="45">
        <v>39.7</v>
      </c>
      <c r="E97" s="45">
        <v>46.6</v>
      </c>
      <c r="F97" s="45">
        <v>49.3</v>
      </c>
      <c r="G97" s="45">
        <v>56.3</v>
      </c>
      <c r="H97" s="45">
        <v>62.9</v>
      </c>
      <c r="I97" s="45">
        <v>70.5</v>
      </c>
    </row>
    <row r="98" spans="1:9" ht="41.25" customHeight="1">
      <c r="A98" s="23" t="s">
        <v>219</v>
      </c>
      <c r="B98" s="14" t="s">
        <v>5</v>
      </c>
      <c r="C98" s="45">
        <v>93.9</v>
      </c>
      <c r="D98" s="45">
        <f>D97/1.147*100/C97</f>
        <v>96.68165191682944</v>
      </c>
      <c r="E98" s="45">
        <f>E97/1.121*100/D97</f>
        <v>104.71039486604485</v>
      </c>
      <c r="F98" s="45">
        <f>F97/1.045*100/E97</f>
        <v>101.23826929790336</v>
      </c>
      <c r="G98" s="45">
        <f>G97/1.122*100/F97</f>
        <v>101.78144648971518</v>
      </c>
      <c r="H98" s="45">
        <f>H97/1.109*100/G97</f>
        <v>100.74203152953311</v>
      </c>
      <c r="I98" s="45">
        <f>I97/1.117*100/H97</f>
        <v>100.3425880986574</v>
      </c>
    </row>
    <row r="99" spans="1:9" s="7" customFormat="1" ht="49.5" customHeight="1">
      <c r="A99" s="104" t="s">
        <v>223</v>
      </c>
      <c r="B99" s="14" t="s">
        <v>6</v>
      </c>
      <c r="C99" s="45">
        <f>C97/C88*100</f>
        <v>13.156927600147004</v>
      </c>
      <c r="D99" s="45">
        <f aca="true" t="shared" si="12" ref="D99:I99">D97/D88*100</f>
        <v>12.599174865122183</v>
      </c>
      <c r="E99" s="45">
        <f t="shared" si="12"/>
        <v>12.704471101417667</v>
      </c>
      <c r="F99" s="45">
        <f t="shared" si="12"/>
        <v>12.781954887218044</v>
      </c>
      <c r="G99" s="45">
        <f t="shared" si="12"/>
        <v>12.780930760499432</v>
      </c>
      <c r="H99" s="45">
        <f t="shared" si="12"/>
        <v>12.714776632302405</v>
      </c>
      <c r="I99" s="45">
        <f t="shared" si="12"/>
        <v>12.61632068718683</v>
      </c>
    </row>
    <row r="100" spans="1:9" ht="18" customHeight="1">
      <c r="A100" s="174" t="s">
        <v>234</v>
      </c>
      <c r="B100" s="174"/>
      <c r="C100" s="174"/>
      <c r="D100" s="174"/>
      <c r="E100" s="174"/>
      <c r="F100" s="174"/>
      <c r="G100" s="174"/>
      <c r="H100" s="174"/>
      <c r="I100" s="174"/>
    </row>
    <row r="101" spans="1:9" ht="31.5">
      <c r="A101" s="129" t="s">
        <v>235</v>
      </c>
      <c r="B101" s="38" t="s">
        <v>9</v>
      </c>
      <c r="C101" s="45"/>
      <c r="D101" s="45"/>
      <c r="E101" s="45"/>
      <c r="F101" s="45"/>
      <c r="G101" s="45"/>
      <c r="H101" s="45"/>
      <c r="I101" s="45"/>
    </row>
    <row r="102" spans="1:9" ht="30" customHeight="1">
      <c r="A102" s="129" t="s">
        <v>236</v>
      </c>
      <c r="B102" s="38" t="s">
        <v>274</v>
      </c>
      <c r="C102" s="45"/>
      <c r="D102" s="45"/>
      <c r="E102" s="45"/>
      <c r="F102" s="45"/>
      <c r="G102" s="45"/>
      <c r="H102" s="45"/>
      <c r="I102" s="45"/>
    </row>
    <row r="103" spans="1:9" ht="30">
      <c r="A103" s="23" t="s">
        <v>237</v>
      </c>
      <c r="B103" s="14" t="s">
        <v>8</v>
      </c>
      <c r="C103" s="45"/>
      <c r="D103" s="45"/>
      <c r="E103" s="45"/>
      <c r="F103" s="45"/>
      <c r="G103" s="45"/>
      <c r="H103" s="45"/>
      <c r="I103" s="45"/>
    </row>
    <row r="104" spans="1:9" ht="30">
      <c r="A104" s="130" t="s">
        <v>238</v>
      </c>
      <c r="B104" s="14" t="s">
        <v>8</v>
      </c>
      <c r="C104" s="47"/>
      <c r="D104" s="47"/>
      <c r="E104" s="47"/>
      <c r="F104" s="47"/>
      <c r="G104" s="47"/>
      <c r="H104" s="47"/>
      <c r="I104" s="47"/>
    </row>
    <row r="105" spans="1:9" ht="30">
      <c r="A105" s="23" t="s">
        <v>246</v>
      </c>
      <c r="B105" s="14" t="s">
        <v>247</v>
      </c>
      <c r="C105" s="47"/>
      <c r="D105" s="47"/>
      <c r="E105" s="47"/>
      <c r="F105" s="47"/>
      <c r="G105" s="47"/>
      <c r="H105" s="47"/>
      <c r="I105" s="47"/>
    </row>
    <row r="106" spans="1:9" ht="15">
      <c r="A106" s="23" t="s">
        <v>248</v>
      </c>
      <c r="B106" s="14" t="s">
        <v>247</v>
      </c>
      <c r="C106" s="48">
        <v>0.348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</row>
    <row r="107" spans="1:9" ht="25.5">
      <c r="A107" s="130" t="s">
        <v>239</v>
      </c>
      <c r="B107" s="14" t="s">
        <v>9</v>
      </c>
      <c r="C107" s="48"/>
      <c r="D107" s="48"/>
      <c r="E107" s="48"/>
      <c r="F107" s="48"/>
      <c r="G107" s="48"/>
      <c r="H107" s="48"/>
      <c r="I107" s="48"/>
    </row>
    <row r="108" spans="1:9" ht="28.5" customHeight="1">
      <c r="A108" s="23" t="s">
        <v>240</v>
      </c>
      <c r="B108" s="14" t="s">
        <v>275</v>
      </c>
      <c r="C108" s="48">
        <v>51.063</v>
      </c>
      <c r="D108" s="48">
        <v>78.778</v>
      </c>
      <c r="E108" s="48">
        <v>106.252</v>
      </c>
      <c r="F108" s="48">
        <v>107.232</v>
      </c>
      <c r="G108" s="48">
        <v>112.701</v>
      </c>
      <c r="H108" s="48">
        <v>119.237</v>
      </c>
      <c r="I108" s="48">
        <v>125.557</v>
      </c>
    </row>
    <row r="109" spans="1:9" ht="25.5" customHeight="1">
      <c r="A109" s="23" t="s">
        <v>241</v>
      </c>
      <c r="B109" s="147" t="s">
        <v>276</v>
      </c>
      <c r="C109" s="48">
        <v>10.034</v>
      </c>
      <c r="D109" s="48">
        <v>6.878</v>
      </c>
      <c r="E109" s="48">
        <v>6.979</v>
      </c>
      <c r="F109" s="48">
        <v>7.215</v>
      </c>
      <c r="G109" s="48">
        <v>7.583</v>
      </c>
      <c r="H109" s="48">
        <v>8.023</v>
      </c>
      <c r="I109" s="48">
        <v>8.448</v>
      </c>
    </row>
    <row r="110" spans="1:9" ht="39" customHeight="1">
      <c r="A110" s="23" t="s">
        <v>242</v>
      </c>
      <c r="B110" s="146" t="s">
        <v>10</v>
      </c>
      <c r="C110" s="47"/>
      <c r="D110" s="47"/>
      <c r="E110" s="47"/>
      <c r="F110" s="47"/>
      <c r="G110" s="47"/>
      <c r="H110" s="47"/>
      <c r="I110" s="47"/>
    </row>
    <row r="111" spans="1:9" ht="16.5" customHeight="1">
      <c r="A111" s="23" t="s">
        <v>244</v>
      </c>
      <c r="B111" s="14" t="s">
        <v>245</v>
      </c>
      <c r="C111" s="47"/>
      <c r="D111" s="47"/>
      <c r="E111" s="47"/>
      <c r="F111" s="47"/>
      <c r="G111" s="47"/>
      <c r="H111" s="47"/>
      <c r="I111" s="47"/>
    </row>
    <row r="112" spans="1:9" ht="19.5" customHeight="1">
      <c r="A112" s="23" t="s">
        <v>243</v>
      </c>
      <c r="B112" s="14" t="s">
        <v>11</v>
      </c>
      <c r="C112" s="47"/>
      <c r="D112" s="47"/>
      <c r="E112" s="47"/>
      <c r="F112" s="47"/>
      <c r="G112" s="47"/>
      <c r="H112" s="47"/>
      <c r="I112" s="47"/>
    </row>
    <row r="113" spans="1:9" s="26" customFormat="1" ht="16.5" customHeight="1">
      <c r="A113" s="166" t="s">
        <v>57</v>
      </c>
      <c r="B113" s="166"/>
      <c r="C113" s="166"/>
      <c r="D113" s="166"/>
      <c r="E113" s="166"/>
      <c r="F113" s="166"/>
      <c r="G113" s="166"/>
      <c r="H113" s="166"/>
      <c r="I113" s="166"/>
    </row>
    <row r="114" spans="1:9" ht="17.25" customHeight="1">
      <c r="A114" s="175" t="s">
        <v>142</v>
      </c>
      <c r="B114" s="175"/>
      <c r="C114" s="175"/>
      <c r="D114" s="175"/>
      <c r="E114" s="175"/>
      <c r="F114" s="175"/>
      <c r="G114" s="175"/>
      <c r="H114" s="175"/>
      <c r="I114" s="175"/>
    </row>
    <row r="115" spans="1:9" ht="25.5">
      <c r="A115" s="130" t="s">
        <v>79</v>
      </c>
      <c r="B115" s="14" t="s">
        <v>7</v>
      </c>
      <c r="C115" s="49">
        <f aca="true" t="shared" si="13" ref="C115:I115">C118+C121</f>
        <v>32.6</v>
      </c>
      <c r="D115" s="49">
        <f t="shared" si="13"/>
        <v>36.053</v>
      </c>
      <c r="E115" s="49">
        <f t="shared" si="13"/>
        <v>40.9</v>
      </c>
      <c r="F115" s="49">
        <f>F118+F121</f>
        <v>45.866</v>
      </c>
      <c r="G115" s="49">
        <f>G118+G121</f>
        <v>47.742999999999995</v>
      </c>
      <c r="H115" s="49">
        <f t="shared" si="13"/>
        <v>50.653999999999996</v>
      </c>
      <c r="I115" s="49">
        <f t="shared" si="13"/>
        <v>53.744</v>
      </c>
    </row>
    <row r="116" spans="1:9" ht="39.75" customHeight="1">
      <c r="A116" s="130" t="s">
        <v>80</v>
      </c>
      <c r="B116" s="14" t="s">
        <v>5</v>
      </c>
      <c r="C116" s="50">
        <v>122</v>
      </c>
      <c r="D116" s="50">
        <f>D115/1.065/C115*100</f>
        <v>103.84227656326506</v>
      </c>
      <c r="E116" s="50">
        <f>E115/1.161/D115*100</f>
        <v>97.712399820601</v>
      </c>
      <c r="F116" s="50">
        <f>F115/0.972/E115*100</f>
        <v>115.37223178081639</v>
      </c>
      <c r="G116" s="50">
        <f>G115/1.063/F115*100</f>
        <v>97.92319472581977</v>
      </c>
      <c r="H116" s="50">
        <f>H115/1.048/G115*100</f>
        <v>101.23781384841517</v>
      </c>
      <c r="I116" s="50">
        <f>I115/1.053/H115*100</f>
        <v>100.75993282321181</v>
      </c>
    </row>
    <row r="117" spans="1:9" ht="15">
      <c r="A117" s="27" t="s">
        <v>143</v>
      </c>
      <c r="B117" s="14"/>
      <c r="C117" s="49"/>
      <c r="D117" s="51"/>
      <c r="E117" s="51"/>
      <c r="F117" s="51"/>
      <c r="G117" s="51"/>
      <c r="H117" s="51"/>
      <c r="I117" s="51"/>
    </row>
    <row r="118" spans="1:9" ht="28.5" customHeight="1">
      <c r="A118" s="131" t="s">
        <v>79</v>
      </c>
      <c r="B118" s="14" t="s">
        <v>7</v>
      </c>
      <c r="C118" s="49">
        <v>10.3</v>
      </c>
      <c r="D118" s="49">
        <v>11.423</v>
      </c>
      <c r="E118" s="49">
        <v>15.36</v>
      </c>
      <c r="F118" s="49">
        <v>18.347</v>
      </c>
      <c r="G118" s="49">
        <v>19.098</v>
      </c>
      <c r="H118" s="49">
        <v>20.262</v>
      </c>
      <c r="I118" s="49">
        <v>21.498</v>
      </c>
    </row>
    <row r="119" spans="1:9" ht="38.25" customHeight="1">
      <c r="A119" s="131" t="s">
        <v>80</v>
      </c>
      <c r="B119" s="14" t="s">
        <v>5</v>
      </c>
      <c r="C119" s="50">
        <v>141.4</v>
      </c>
      <c r="D119" s="50">
        <f>D118/1.069/C118*100</f>
        <v>103.74453940258113</v>
      </c>
      <c r="E119" s="50">
        <f>E118/1.242/D118*100</f>
        <v>108.26533973959648</v>
      </c>
      <c r="F119" s="50">
        <f>F118/0.908/E118*100</f>
        <v>131.5491350036711</v>
      </c>
      <c r="G119" s="50">
        <f>G118/1.077/F118*100</f>
        <v>96.65117201312428</v>
      </c>
      <c r="H119" s="50">
        <f>H118/1.047/G118*100</f>
        <v>101.33226269811479</v>
      </c>
      <c r="I119" s="50">
        <f>I118/1.053/H118*100</f>
        <v>100.75981845797264</v>
      </c>
    </row>
    <row r="120" spans="1:9" ht="15">
      <c r="A120" s="27" t="s">
        <v>144</v>
      </c>
      <c r="B120" s="14"/>
      <c r="C120" s="51"/>
      <c r="D120" s="51"/>
      <c r="E120" s="51"/>
      <c r="F120" s="51"/>
      <c r="G120" s="51"/>
      <c r="H120" s="51"/>
      <c r="I120" s="51"/>
    </row>
    <row r="121" spans="1:9" ht="27" customHeight="1">
      <c r="A121" s="27" t="s">
        <v>79</v>
      </c>
      <c r="B121" s="14" t="s">
        <v>7</v>
      </c>
      <c r="C121" s="49">
        <v>22.3</v>
      </c>
      <c r="D121" s="49">
        <v>24.63</v>
      </c>
      <c r="E121" s="49">
        <v>25.54</v>
      </c>
      <c r="F121" s="49">
        <v>27.519</v>
      </c>
      <c r="G121" s="49">
        <v>28.645</v>
      </c>
      <c r="H121" s="49">
        <v>30.392</v>
      </c>
      <c r="I121" s="49">
        <v>32.246</v>
      </c>
    </row>
    <row r="122" spans="1:9" ht="39.75" customHeight="1">
      <c r="A122" s="27" t="s">
        <v>80</v>
      </c>
      <c r="B122" s="14" t="s">
        <v>5</v>
      </c>
      <c r="C122" s="50">
        <v>110.8</v>
      </c>
      <c r="D122" s="50">
        <f>D121/1.061/C121*100</f>
        <v>104.09842647810889</v>
      </c>
      <c r="E122" s="50">
        <f>E121/1.095/D121*100</f>
        <v>94.69833907122212</v>
      </c>
      <c r="F122" s="50">
        <f>F121/1.104/E121*100</f>
        <v>97.59839637737903</v>
      </c>
      <c r="G122" s="50">
        <f>G121/1.051/F121*100</f>
        <v>99.04064552718512</v>
      </c>
      <c r="H122" s="50">
        <f>H121/1.048/G121*100</f>
        <v>101.23930877989179</v>
      </c>
      <c r="I122" s="50">
        <f>I121/1.05/H121*100</f>
        <v>101.047894809411</v>
      </c>
    </row>
    <row r="123" spans="1:9" ht="15.75" customHeight="1">
      <c r="A123" s="169" t="s">
        <v>15</v>
      </c>
      <c r="B123" s="169"/>
      <c r="C123" s="169"/>
      <c r="D123" s="169"/>
      <c r="E123" s="169"/>
      <c r="F123" s="169"/>
      <c r="G123" s="169"/>
      <c r="H123" s="169"/>
      <c r="I123" s="169"/>
    </row>
    <row r="124" spans="1:9" ht="18" customHeight="1">
      <c r="A124" s="155" t="s">
        <v>103</v>
      </c>
      <c r="B124" s="156"/>
      <c r="C124" s="156"/>
      <c r="D124" s="156"/>
      <c r="E124" s="156"/>
      <c r="F124" s="156"/>
      <c r="G124" s="156"/>
      <c r="H124" s="156"/>
      <c r="I124" s="157"/>
    </row>
    <row r="125" spans="1:9" ht="30" customHeight="1">
      <c r="A125" s="130" t="s">
        <v>2</v>
      </c>
      <c r="B125" s="14" t="s">
        <v>7</v>
      </c>
      <c r="C125" s="49">
        <v>8.8</v>
      </c>
      <c r="D125" s="49">
        <v>9.1</v>
      </c>
      <c r="E125" s="49">
        <v>11.32</v>
      </c>
      <c r="F125" s="49">
        <v>13.966</v>
      </c>
      <c r="G125" s="49">
        <v>14.79</v>
      </c>
      <c r="H125" s="49">
        <f>G125*106.1/100</f>
        <v>15.692189999999998</v>
      </c>
      <c r="I125" s="49">
        <f>H125*106.1/100</f>
        <v>16.649413589999998</v>
      </c>
    </row>
    <row r="126" spans="1:9" ht="38.25" customHeight="1">
      <c r="A126" s="130" t="s">
        <v>13</v>
      </c>
      <c r="B126" s="14" t="s">
        <v>5</v>
      </c>
      <c r="C126" s="50">
        <v>143.2</v>
      </c>
      <c r="D126" s="50">
        <f>D125/1.065/C125*100</f>
        <v>97.09773794280837</v>
      </c>
      <c r="E126" s="50">
        <f>E125/1.161/D125*100</f>
        <v>107.1452234242932</v>
      </c>
      <c r="F126" s="50">
        <f>F125/0.97/E125*100</f>
        <v>127.19026629266695</v>
      </c>
      <c r="G126" s="50">
        <f>G125/1.063/F125*100</f>
        <v>99.62374690637618</v>
      </c>
      <c r="H126" s="50">
        <f>H125/1.048/G125*100</f>
        <v>101.24045801526718</v>
      </c>
      <c r="I126" s="50">
        <f>I125/1.053/H125*100</f>
        <v>100.75973409306742</v>
      </c>
    </row>
    <row r="127" spans="1:9" ht="19.5" customHeight="1">
      <c r="A127" s="155" t="s">
        <v>104</v>
      </c>
      <c r="B127" s="156"/>
      <c r="C127" s="156"/>
      <c r="D127" s="156"/>
      <c r="E127" s="156"/>
      <c r="F127" s="156"/>
      <c r="G127" s="156"/>
      <c r="H127" s="156"/>
      <c r="I127" s="157"/>
    </row>
    <row r="128" spans="1:9" ht="25.5" customHeight="1">
      <c r="A128" s="130" t="s">
        <v>2</v>
      </c>
      <c r="B128" s="14" t="s">
        <v>7</v>
      </c>
      <c r="C128" s="49">
        <v>6.5</v>
      </c>
      <c r="D128" s="49">
        <v>7.5</v>
      </c>
      <c r="E128" s="49">
        <v>7.35</v>
      </c>
      <c r="F128" s="49">
        <v>7.4</v>
      </c>
      <c r="G128" s="49">
        <f>F128*103.3/100</f>
        <v>7.6442</v>
      </c>
      <c r="H128" s="49">
        <f>G128*106.1/100</f>
        <v>8.110496199999998</v>
      </c>
      <c r="I128" s="49">
        <f>H128*106.1/100</f>
        <v>8.605236468199998</v>
      </c>
    </row>
    <row r="129" spans="1:9" ht="42.75" customHeight="1">
      <c r="A129" s="130" t="s">
        <v>13</v>
      </c>
      <c r="B129" s="14" t="s">
        <v>5</v>
      </c>
      <c r="C129" s="50">
        <v>113.4</v>
      </c>
      <c r="D129" s="50">
        <f>D128/1.065/C128*100</f>
        <v>108.34236186348862</v>
      </c>
      <c r="E129" s="50">
        <f>E128/1.161/D128*100</f>
        <v>84.40999138673556</v>
      </c>
      <c r="F129" s="50">
        <f>F128/0.97/E128*100</f>
        <v>103.79409495757066</v>
      </c>
      <c r="G129" s="50">
        <f>G128/1.063/F128*100</f>
        <v>97.17779868297272</v>
      </c>
      <c r="H129" s="50">
        <f>H128/1.048/G128*100</f>
        <v>101.24045801526715</v>
      </c>
      <c r="I129" s="50">
        <f>I128/1.053/H128*100</f>
        <v>100.75973409306742</v>
      </c>
    </row>
    <row r="130" spans="1:9" ht="19.5" customHeight="1">
      <c r="A130" s="130" t="s">
        <v>105</v>
      </c>
      <c r="B130" s="13"/>
      <c r="C130" s="51"/>
      <c r="D130" s="51"/>
      <c r="E130" s="53"/>
      <c r="F130" s="53"/>
      <c r="G130" s="53"/>
      <c r="H130" s="53"/>
      <c r="I130" s="53"/>
    </row>
    <row r="131" spans="1:9" ht="25.5">
      <c r="A131" s="130" t="s">
        <v>2</v>
      </c>
      <c r="B131" s="14" t="s">
        <v>7</v>
      </c>
      <c r="C131" s="49">
        <v>17.3</v>
      </c>
      <c r="D131" s="49">
        <v>19.453</v>
      </c>
      <c r="E131" s="49">
        <v>22.23</v>
      </c>
      <c r="F131" s="49">
        <v>24.5</v>
      </c>
      <c r="G131" s="49">
        <f>F131*103.3/100</f>
        <v>25.3085</v>
      </c>
      <c r="H131" s="49">
        <f>G131*106.1/100</f>
        <v>26.852318499999996</v>
      </c>
      <c r="I131" s="49">
        <f>H131*106.1/100</f>
        <v>28.490309928499993</v>
      </c>
    </row>
    <row r="132" spans="1:9" ht="25.5">
      <c r="A132" s="130" t="s">
        <v>13</v>
      </c>
      <c r="B132" s="14" t="s">
        <v>5</v>
      </c>
      <c r="C132" s="50">
        <v>116.5</v>
      </c>
      <c r="D132" s="50">
        <f>D131/1.065/C131*100</f>
        <v>105.58224103774864</v>
      </c>
      <c r="E132" s="50">
        <f>E131/1.161/D131*100</f>
        <v>98.42845227833972</v>
      </c>
      <c r="F132" s="50">
        <f>F131/0.97/E131*100</f>
        <v>113.62002680505121</v>
      </c>
      <c r="G132" s="50">
        <f>G131/1.063/F131*100</f>
        <v>97.17779868297272</v>
      </c>
      <c r="H132" s="50">
        <f>H131/1.048/G131*100</f>
        <v>101.24045801526718</v>
      </c>
      <c r="I132" s="50">
        <f>I131/1.053/H131*100</f>
        <v>100.75973409306742</v>
      </c>
    </row>
    <row r="133" spans="1:9" ht="15.75" customHeight="1">
      <c r="A133" s="169" t="s">
        <v>106</v>
      </c>
      <c r="B133" s="169"/>
      <c r="C133" s="169"/>
      <c r="D133" s="169"/>
      <c r="E133" s="169"/>
      <c r="F133" s="169"/>
      <c r="G133" s="169"/>
      <c r="H133" s="169"/>
      <c r="I133" s="169"/>
    </row>
    <row r="134" spans="1:9" ht="31.5">
      <c r="A134" s="132" t="s">
        <v>16</v>
      </c>
      <c r="B134" s="13" t="s">
        <v>8</v>
      </c>
      <c r="C134" s="51">
        <f>C137+C139</f>
        <v>0.164</v>
      </c>
      <c r="D134" s="51">
        <f>D137+D139</f>
        <v>0.047</v>
      </c>
      <c r="E134" s="51">
        <f>E137+E139</f>
        <v>0.115</v>
      </c>
      <c r="F134" s="49">
        <f>F137+F139</f>
        <v>0.12</v>
      </c>
      <c r="G134" s="49">
        <f>G137</f>
        <v>0.12708</v>
      </c>
      <c r="H134" s="49">
        <f>H137</f>
        <v>0.1353402</v>
      </c>
      <c r="I134" s="49">
        <f>H134*104.6/100</f>
        <v>0.14156584919999998</v>
      </c>
    </row>
    <row r="135" spans="1:9" ht="38.25" customHeight="1">
      <c r="A135" s="130"/>
      <c r="B135" s="14" t="s">
        <v>5</v>
      </c>
      <c r="C135" s="50">
        <v>75.2</v>
      </c>
      <c r="D135" s="50">
        <f>D134/C134*100</f>
        <v>28.65853658536585</v>
      </c>
      <c r="E135" s="50">
        <f>E134/D134*100</f>
        <v>244.6808510638298</v>
      </c>
      <c r="F135" s="50">
        <f>F134/E134*100</f>
        <v>104.34782608695652</v>
      </c>
      <c r="G135" s="50">
        <f>G138</f>
        <v>105.89999999999999</v>
      </c>
      <c r="H135" s="50">
        <f>H138</f>
        <v>106.5</v>
      </c>
      <c r="I135" s="50">
        <f>I138</f>
        <v>104.59999999999998</v>
      </c>
    </row>
    <row r="136" spans="1:9" ht="18" customHeight="1">
      <c r="A136" s="130" t="s">
        <v>12</v>
      </c>
      <c r="B136" s="14"/>
      <c r="C136" s="51"/>
      <c r="D136" s="51"/>
      <c r="E136" s="51"/>
      <c r="F136" s="51"/>
      <c r="G136" s="51"/>
      <c r="H136" s="51"/>
      <c r="I136" s="51"/>
    </row>
    <row r="137" spans="1:9" ht="30">
      <c r="A137" s="130" t="s">
        <v>17</v>
      </c>
      <c r="B137" s="14" t="s">
        <v>8</v>
      </c>
      <c r="C137" s="51">
        <v>0.164</v>
      </c>
      <c r="D137" s="51">
        <v>0.047</v>
      </c>
      <c r="E137" s="51">
        <v>0.115</v>
      </c>
      <c r="F137" s="49">
        <v>0.12</v>
      </c>
      <c r="G137" s="49">
        <f>F137*105.9/100</f>
        <v>0.12708</v>
      </c>
      <c r="H137" s="49">
        <f>G137*106.5/100</f>
        <v>0.1353402</v>
      </c>
      <c r="I137" s="49">
        <f>H137*104.6/100</f>
        <v>0.14156584919999998</v>
      </c>
    </row>
    <row r="138" spans="1:9" ht="39" customHeight="1">
      <c r="A138" s="130"/>
      <c r="B138" s="14" t="s">
        <v>5</v>
      </c>
      <c r="C138" s="50">
        <v>75.2</v>
      </c>
      <c r="D138" s="50">
        <f aca="true" t="shared" si="14" ref="D138:I138">D137/C137*100</f>
        <v>28.65853658536585</v>
      </c>
      <c r="E138" s="50">
        <f t="shared" si="14"/>
        <v>244.6808510638298</v>
      </c>
      <c r="F138" s="50">
        <f t="shared" si="14"/>
        <v>104.34782608695652</v>
      </c>
      <c r="G138" s="50">
        <f t="shared" si="14"/>
        <v>105.89999999999999</v>
      </c>
      <c r="H138" s="50">
        <f t="shared" si="14"/>
        <v>106.5</v>
      </c>
      <c r="I138" s="50">
        <f t="shared" si="14"/>
        <v>104.59999999999998</v>
      </c>
    </row>
    <row r="139" spans="1:9" ht="30">
      <c r="A139" s="130" t="s">
        <v>18</v>
      </c>
      <c r="B139" s="14" t="s">
        <v>8</v>
      </c>
      <c r="C139" s="51"/>
      <c r="D139" s="51"/>
      <c r="E139" s="53"/>
      <c r="F139" s="53"/>
      <c r="G139" s="53"/>
      <c r="H139" s="53"/>
      <c r="I139" s="53"/>
    </row>
    <row r="140" spans="1:9" ht="39" customHeight="1">
      <c r="A140" s="132"/>
      <c r="B140" s="14" t="s">
        <v>5</v>
      </c>
      <c r="C140" s="51"/>
      <c r="D140" s="51"/>
      <c r="E140" s="53"/>
      <c r="F140" s="53"/>
      <c r="G140" s="53"/>
      <c r="H140" s="53"/>
      <c r="I140" s="53"/>
    </row>
    <row r="141" spans="1:9" ht="25.5">
      <c r="A141" s="132" t="s">
        <v>19</v>
      </c>
      <c r="B141" s="14" t="s">
        <v>8</v>
      </c>
      <c r="C141" s="54">
        <f aca="true" t="shared" si="15" ref="C141:I141">C144+C146+C148</f>
        <v>12.138</v>
      </c>
      <c r="D141" s="54">
        <f t="shared" si="15"/>
        <v>12.088</v>
      </c>
      <c r="E141" s="54">
        <f t="shared" si="15"/>
        <v>13.937</v>
      </c>
      <c r="F141" s="49">
        <f t="shared" si="15"/>
        <v>14.5</v>
      </c>
      <c r="G141" s="49">
        <f t="shared" si="15"/>
        <v>15.355500000000003</v>
      </c>
      <c r="H141" s="49">
        <f t="shared" si="15"/>
        <v>16.353607500000003</v>
      </c>
      <c r="I141" s="49">
        <f t="shared" si="15"/>
        <v>17.105873445000004</v>
      </c>
    </row>
    <row r="142" spans="1:9" ht="39" customHeight="1">
      <c r="A142" s="130"/>
      <c r="B142" s="14" t="s">
        <v>5</v>
      </c>
      <c r="C142" s="50">
        <v>112.3</v>
      </c>
      <c r="D142" s="50">
        <f aca="true" t="shared" si="16" ref="D142:I142">D141/C141*100</f>
        <v>99.58807052232657</v>
      </c>
      <c r="E142" s="50">
        <f t="shared" si="16"/>
        <v>115.29616148246195</v>
      </c>
      <c r="F142" s="50">
        <f t="shared" si="16"/>
        <v>104.03960680203774</v>
      </c>
      <c r="G142" s="50">
        <f t="shared" si="16"/>
        <v>105.90000000000002</v>
      </c>
      <c r="H142" s="50">
        <f t="shared" si="16"/>
        <v>106.5</v>
      </c>
      <c r="I142" s="50">
        <f t="shared" si="16"/>
        <v>104.60000000000001</v>
      </c>
    </row>
    <row r="143" spans="1:9" ht="18" customHeight="1">
      <c r="A143" s="130" t="s">
        <v>12</v>
      </c>
      <c r="B143" s="14"/>
      <c r="C143" s="51"/>
      <c r="D143" s="51"/>
      <c r="E143" s="53"/>
      <c r="F143" s="53"/>
      <c r="G143" s="53"/>
      <c r="H143" s="53"/>
      <c r="I143" s="53"/>
    </row>
    <row r="144" spans="1:9" ht="30">
      <c r="A144" s="130" t="s">
        <v>17</v>
      </c>
      <c r="B144" s="14" t="s">
        <v>8</v>
      </c>
      <c r="C144" s="51">
        <v>0.661</v>
      </c>
      <c r="D144" s="51">
        <v>0.803</v>
      </c>
      <c r="E144" s="51">
        <v>1.531</v>
      </c>
      <c r="F144" s="49">
        <v>1.6</v>
      </c>
      <c r="G144" s="49">
        <f>F144*105.9/100</f>
        <v>1.6944000000000004</v>
      </c>
      <c r="H144" s="49">
        <f>G144*106.5/100</f>
        <v>1.8045360000000006</v>
      </c>
      <c r="I144" s="49">
        <f>H144*104.6/100</f>
        <v>1.8875446560000007</v>
      </c>
    </row>
    <row r="145" spans="1:9" ht="42.75" customHeight="1">
      <c r="A145" s="130"/>
      <c r="B145" s="14" t="s">
        <v>5</v>
      </c>
      <c r="C145" s="50">
        <v>193.8</v>
      </c>
      <c r="D145" s="50">
        <f aca="true" t="shared" si="17" ref="D145:I145">D144/C144*100</f>
        <v>121.48260211800303</v>
      </c>
      <c r="E145" s="50">
        <f t="shared" si="17"/>
        <v>190.66002490660023</v>
      </c>
      <c r="F145" s="50">
        <f t="shared" si="17"/>
        <v>104.50685826257349</v>
      </c>
      <c r="G145" s="50">
        <f t="shared" si="17"/>
        <v>105.90000000000002</v>
      </c>
      <c r="H145" s="50">
        <f t="shared" si="17"/>
        <v>106.50000000000001</v>
      </c>
      <c r="I145" s="50">
        <f t="shared" si="17"/>
        <v>104.60000000000001</v>
      </c>
    </row>
    <row r="146" spans="1:9" ht="30">
      <c r="A146" s="130" t="s">
        <v>18</v>
      </c>
      <c r="B146" s="13" t="s">
        <v>8</v>
      </c>
      <c r="C146" s="49">
        <v>0.602</v>
      </c>
      <c r="D146" s="49">
        <v>0.579</v>
      </c>
      <c r="E146" s="49">
        <v>0.722</v>
      </c>
      <c r="F146" s="49">
        <v>0.9</v>
      </c>
      <c r="G146" s="49">
        <f>F146*105.9/100</f>
        <v>0.9531000000000001</v>
      </c>
      <c r="H146" s="49">
        <f>G146*106.5/100</f>
        <v>1.0150515</v>
      </c>
      <c r="I146" s="49">
        <f>H146*104.6/100</f>
        <v>1.0617438689999998</v>
      </c>
    </row>
    <row r="147" spans="1:9" ht="38.25" customHeight="1">
      <c r="A147" s="130"/>
      <c r="B147" s="14" t="s">
        <v>5</v>
      </c>
      <c r="C147" s="50">
        <v>122.9</v>
      </c>
      <c r="D147" s="50">
        <f aca="true" t="shared" si="18" ref="D147:I147">D146/C146*100</f>
        <v>96.17940199335547</v>
      </c>
      <c r="E147" s="50">
        <f t="shared" si="18"/>
        <v>124.69775474956823</v>
      </c>
      <c r="F147" s="50">
        <f t="shared" si="18"/>
        <v>124.65373961218837</v>
      </c>
      <c r="G147" s="50">
        <f t="shared" si="18"/>
        <v>105.89999999999999</v>
      </c>
      <c r="H147" s="50">
        <f t="shared" si="18"/>
        <v>106.5</v>
      </c>
      <c r="I147" s="50">
        <f t="shared" si="18"/>
        <v>104.59999999999998</v>
      </c>
    </row>
    <row r="148" spans="1:9" ht="18" customHeight="1">
      <c r="A148" s="130" t="s">
        <v>20</v>
      </c>
      <c r="B148" s="14" t="s">
        <v>8</v>
      </c>
      <c r="C148" s="49">
        <v>10.875</v>
      </c>
      <c r="D148" s="49">
        <v>10.706</v>
      </c>
      <c r="E148" s="49">
        <v>11.684</v>
      </c>
      <c r="F148" s="49">
        <v>12</v>
      </c>
      <c r="G148" s="49">
        <f>F148*105.9/100</f>
        <v>12.708000000000002</v>
      </c>
      <c r="H148" s="49">
        <f>G148*106.5/100</f>
        <v>13.534020000000003</v>
      </c>
      <c r="I148" s="49">
        <f>H148*104.6/100</f>
        <v>14.156584920000002</v>
      </c>
    </row>
    <row r="149" spans="1:9" ht="38.25" customHeight="1">
      <c r="A149" s="130"/>
      <c r="B149" s="14" t="s">
        <v>5</v>
      </c>
      <c r="C149" s="50">
        <v>108.9</v>
      </c>
      <c r="D149" s="50">
        <f aca="true" t="shared" si="19" ref="D149:I149">D148/C148*100</f>
        <v>98.44597701149425</v>
      </c>
      <c r="E149" s="50">
        <f t="shared" si="19"/>
        <v>109.1350644498412</v>
      </c>
      <c r="F149" s="50">
        <f t="shared" si="19"/>
        <v>102.70455323519343</v>
      </c>
      <c r="G149" s="50">
        <f t="shared" si="19"/>
        <v>105.90000000000002</v>
      </c>
      <c r="H149" s="50">
        <f t="shared" si="19"/>
        <v>106.50000000000001</v>
      </c>
      <c r="I149" s="50">
        <f t="shared" si="19"/>
        <v>104.59999999999998</v>
      </c>
    </row>
    <row r="150" spans="1:9" ht="16.5" customHeight="1">
      <c r="A150" s="132" t="s">
        <v>21</v>
      </c>
      <c r="B150" s="14" t="s">
        <v>8</v>
      </c>
      <c r="C150" s="54">
        <f aca="true" t="shared" si="20" ref="C150:I150">C153+C155+C157</f>
        <v>4.036</v>
      </c>
      <c r="D150" s="54">
        <f t="shared" si="20"/>
        <v>3.569</v>
      </c>
      <c r="E150" s="54">
        <f t="shared" si="20"/>
        <v>3.7030000000000003</v>
      </c>
      <c r="F150" s="49">
        <f t="shared" si="20"/>
        <v>3.81</v>
      </c>
      <c r="G150" s="49">
        <f t="shared" si="20"/>
        <v>4.03479</v>
      </c>
      <c r="H150" s="49">
        <f t="shared" si="20"/>
        <v>4.29705135</v>
      </c>
      <c r="I150" s="49">
        <f t="shared" si="20"/>
        <v>4.4947157121</v>
      </c>
    </row>
    <row r="151" spans="1:9" ht="40.5" customHeight="1">
      <c r="A151" s="130"/>
      <c r="B151" s="14" t="s">
        <v>5</v>
      </c>
      <c r="C151" s="50">
        <v>99.9</v>
      </c>
      <c r="D151" s="50">
        <f aca="true" t="shared" si="21" ref="D151:I151">D150/C150*100</f>
        <v>88.42913776015858</v>
      </c>
      <c r="E151" s="50">
        <f t="shared" si="21"/>
        <v>103.75455309610535</v>
      </c>
      <c r="F151" s="50">
        <f t="shared" si="21"/>
        <v>102.8895490143127</v>
      </c>
      <c r="G151" s="50">
        <f t="shared" si="21"/>
        <v>105.89999999999999</v>
      </c>
      <c r="H151" s="50">
        <f t="shared" si="21"/>
        <v>106.5</v>
      </c>
      <c r="I151" s="50">
        <f t="shared" si="21"/>
        <v>104.59999999999998</v>
      </c>
    </row>
    <row r="152" spans="1:9" ht="15">
      <c r="A152" s="130" t="s">
        <v>12</v>
      </c>
      <c r="B152" s="14"/>
      <c r="C152" s="51"/>
      <c r="D152" s="51"/>
      <c r="E152" s="53"/>
      <c r="F152" s="53"/>
      <c r="G152" s="53"/>
      <c r="H152" s="53"/>
      <c r="I152" s="53"/>
    </row>
    <row r="153" spans="1:9" ht="30">
      <c r="A153" s="130" t="s">
        <v>17</v>
      </c>
      <c r="B153" s="14" t="s">
        <v>8</v>
      </c>
      <c r="C153" s="51"/>
      <c r="D153" s="51"/>
      <c r="E153" s="53"/>
      <c r="F153" s="53"/>
      <c r="G153" s="53"/>
      <c r="H153" s="53"/>
      <c r="I153" s="53"/>
    </row>
    <row r="154" spans="1:9" ht="39.75" customHeight="1">
      <c r="A154" s="130"/>
      <c r="B154" s="14" t="s">
        <v>5</v>
      </c>
      <c r="C154" s="50"/>
      <c r="D154" s="51"/>
      <c r="E154" s="53"/>
      <c r="F154" s="55"/>
      <c r="G154" s="55"/>
      <c r="H154" s="55"/>
      <c r="I154" s="55"/>
    </row>
    <row r="155" spans="1:9" ht="30">
      <c r="A155" s="130" t="s">
        <v>18</v>
      </c>
      <c r="B155" s="14" t="s">
        <v>8</v>
      </c>
      <c r="C155" s="49">
        <v>0.475</v>
      </c>
      <c r="D155" s="49">
        <v>0.126</v>
      </c>
      <c r="E155" s="49">
        <v>0.16</v>
      </c>
      <c r="F155" s="49">
        <v>0.21</v>
      </c>
      <c r="G155" s="49">
        <f>F155*105.9/100</f>
        <v>0.22239</v>
      </c>
      <c r="H155" s="49">
        <f>G155*106.5/100</f>
        <v>0.23684535</v>
      </c>
      <c r="I155" s="49">
        <f>H155*104.6/100</f>
        <v>0.2477402361</v>
      </c>
    </row>
    <row r="156" spans="1:9" ht="39" customHeight="1">
      <c r="A156" s="130"/>
      <c r="B156" s="14" t="s">
        <v>5</v>
      </c>
      <c r="C156" s="50">
        <v>106.7</v>
      </c>
      <c r="D156" s="50">
        <f aca="true" t="shared" si="22" ref="D156:I156">D155/C155*100</f>
        <v>26.526315789473685</v>
      </c>
      <c r="E156" s="50">
        <f t="shared" si="22"/>
        <v>126.98412698412697</v>
      </c>
      <c r="F156" s="50">
        <f t="shared" si="22"/>
        <v>131.25</v>
      </c>
      <c r="G156" s="50">
        <f t="shared" si="22"/>
        <v>105.90000000000002</v>
      </c>
      <c r="H156" s="50">
        <f t="shared" si="22"/>
        <v>106.5</v>
      </c>
      <c r="I156" s="50">
        <f t="shared" si="22"/>
        <v>104.60000000000001</v>
      </c>
    </row>
    <row r="157" spans="1:9" ht="19.5" customHeight="1">
      <c r="A157" s="130" t="s">
        <v>20</v>
      </c>
      <c r="B157" s="14" t="s">
        <v>8</v>
      </c>
      <c r="C157" s="49">
        <v>3.561</v>
      </c>
      <c r="D157" s="49">
        <v>3.443</v>
      </c>
      <c r="E157" s="49">
        <v>3.543</v>
      </c>
      <c r="F157" s="49">
        <v>3.6</v>
      </c>
      <c r="G157" s="49">
        <f>F157*105.9/100</f>
        <v>3.8124000000000002</v>
      </c>
      <c r="H157" s="49">
        <f>G157*106.5/100</f>
        <v>4.060206</v>
      </c>
      <c r="I157" s="49">
        <f>H157*104.6/100</f>
        <v>4.246975475999999</v>
      </c>
    </row>
    <row r="158" spans="1:9" ht="40.5" customHeight="1">
      <c r="A158" s="130"/>
      <c r="B158" s="14" t="s">
        <v>5</v>
      </c>
      <c r="C158" s="50">
        <v>99.2</v>
      </c>
      <c r="D158" s="50">
        <f aca="true" t="shared" si="23" ref="D158:I158">D157/C157*100</f>
        <v>96.68632406627353</v>
      </c>
      <c r="E158" s="50">
        <f t="shared" si="23"/>
        <v>102.90444379901248</v>
      </c>
      <c r="F158" s="50">
        <f t="shared" si="23"/>
        <v>101.60880609652835</v>
      </c>
      <c r="G158" s="50">
        <f t="shared" si="23"/>
        <v>105.89999999999999</v>
      </c>
      <c r="H158" s="50">
        <f t="shared" si="23"/>
        <v>106.5</v>
      </c>
      <c r="I158" s="50">
        <f t="shared" si="23"/>
        <v>104.59999999999998</v>
      </c>
    </row>
    <row r="159" spans="1:9" ht="31.5">
      <c r="A159" s="132" t="s">
        <v>213</v>
      </c>
      <c r="B159" s="14" t="s">
        <v>8</v>
      </c>
      <c r="C159" s="51">
        <f aca="true" t="shared" si="24" ref="C159:I159">C162+C164+C166</f>
        <v>0.628</v>
      </c>
      <c r="D159" s="49">
        <f t="shared" si="24"/>
        <v>0.865</v>
      </c>
      <c r="E159" s="51">
        <f t="shared" si="24"/>
        <v>0.776</v>
      </c>
      <c r="F159" s="49">
        <f t="shared" si="24"/>
        <v>0.8049999999999999</v>
      </c>
      <c r="G159" s="49">
        <f t="shared" si="24"/>
        <v>0.838005</v>
      </c>
      <c r="H159" s="49">
        <f t="shared" si="24"/>
        <v>0.885771285</v>
      </c>
      <c r="I159" s="49">
        <f t="shared" si="24"/>
        <v>0.930945620535</v>
      </c>
    </row>
    <row r="160" spans="1:9" ht="40.5" customHeight="1">
      <c r="A160" s="130"/>
      <c r="B160" s="14" t="s">
        <v>5</v>
      </c>
      <c r="C160" s="50">
        <v>77.6</v>
      </c>
      <c r="D160" s="50">
        <f aca="true" t="shared" si="25" ref="D160:I160">D159/C159*100</f>
        <v>137.7388535031847</v>
      </c>
      <c r="E160" s="50">
        <f t="shared" si="25"/>
        <v>89.71098265895954</v>
      </c>
      <c r="F160" s="50">
        <f t="shared" si="25"/>
        <v>103.73711340206184</v>
      </c>
      <c r="G160" s="50">
        <f t="shared" si="25"/>
        <v>104.10000000000001</v>
      </c>
      <c r="H160" s="50">
        <f t="shared" si="25"/>
        <v>105.69999999999999</v>
      </c>
      <c r="I160" s="50">
        <f t="shared" si="25"/>
        <v>105.1</v>
      </c>
    </row>
    <row r="161" spans="1:9" ht="17.25" customHeight="1">
      <c r="A161" s="130" t="s">
        <v>12</v>
      </c>
      <c r="B161" s="13"/>
      <c r="C161" s="51"/>
      <c r="D161" s="51"/>
      <c r="E161" s="53"/>
      <c r="F161" s="53"/>
      <c r="G161" s="53"/>
      <c r="H161" s="53"/>
      <c r="I161" s="53"/>
    </row>
    <row r="162" spans="1:9" ht="31.5" customHeight="1">
      <c r="A162" s="130" t="s">
        <v>17</v>
      </c>
      <c r="B162" s="13" t="s">
        <v>8</v>
      </c>
      <c r="C162" s="49">
        <v>0.016</v>
      </c>
      <c r="D162" s="49">
        <v>0.006</v>
      </c>
      <c r="E162" s="49">
        <v>0.023</v>
      </c>
      <c r="F162" s="49">
        <v>0.035</v>
      </c>
      <c r="G162" s="49">
        <f>F162*104.1/100</f>
        <v>0.036435</v>
      </c>
      <c r="H162" s="49">
        <f>G162*105.7/100</f>
        <v>0.038511795</v>
      </c>
      <c r="I162" s="49">
        <f>H162*105.1/100</f>
        <v>0.040475896545</v>
      </c>
    </row>
    <row r="163" spans="1:9" ht="39" customHeight="1">
      <c r="A163" s="130"/>
      <c r="B163" s="14" t="s">
        <v>5</v>
      </c>
      <c r="C163" s="50">
        <v>39</v>
      </c>
      <c r="D163" s="50">
        <f aca="true" t="shared" si="26" ref="D163:I163">D162/C162*100</f>
        <v>37.5</v>
      </c>
      <c r="E163" s="50">
        <f t="shared" si="26"/>
        <v>383.3333333333333</v>
      </c>
      <c r="F163" s="50">
        <f t="shared" si="26"/>
        <v>152.17391304347828</v>
      </c>
      <c r="G163" s="50">
        <f t="shared" si="26"/>
        <v>104.1</v>
      </c>
      <c r="H163" s="50">
        <f t="shared" si="26"/>
        <v>105.69999999999999</v>
      </c>
      <c r="I163" s="50">
        <f t="shared" si="26"/>
        <v>105.1</v>
      </c>
    </row>
    <row r="164" spans="1:9" ht="30.75" customHeight="1">
      <c r="A164" s="130" t="s">
        <v>18</v>
      </c>
      <c r="B164" s="14" t="s">
        <v>8</v>
      </c>
      <c r="C164" s="49">
        <v>0.016</v>
      </c>
      <c r="D164" s="49">
        <v>0.03</v>
      </c>
      <c r="E164" s="49">
        <v>0.045</v>
      </c>
      <c r="F164" s="49">
        <v>0.05</v>
      </c>
      <c r="G164" s="49">
        <f>F164*104.1/100</f>
        <v>0.05205</v>
      </c>
      <c r="H164" s="49">
        <f>G164*105.7/100</f>
        <v>0.05501685</v>
      </c>
      <c r="I164" s="49">
        <f>H164*105.1/100</f>
        <v>0.057822709349999994</v>
      </c>
    </row>
    <row r="165" spans="1:9" ht="39.75" customHeight="1">
      <c r="A165" s="130"/>
      <c r="B165" s="14" t="s">
        <v>5</v>
      </c>
      <c r="C165" s="50">
        <v>106.7</v>
      </c>
      <c r="D165" s="50">
        <f aca="true" t="shared" si="27" ref="D165:I165">D164/C164*100</f>
        <v>187.5</v>
      </c>
      <c r="E165" s="50">
        <f t="shared" si="27"/>
        <v>150</v>
      </c>
      <c r="F165" s="50">
        <f t="shared" si="27"/>
        <v>111.11111111111111</v>
      </c>
      <c r="G165" s="50">
        <f t="shared" si="27"/>
        <v>104.1</v>
      </c>
      <c r="H165" s="50">
        <f t="shared" si="27"/>
        <v>105.69999999999999</v>
      </c>
      <c r="I165" s="50">
        <f t="shared" si="27"/>
        <v>105.1</v>
      </c>
    </row>
    <row r="166" spans="1:9" ht="15" customHeight="1">
      <c r="A166" s="130" t="s">
        <v>20</v>
      </c>
      <c r="B166" s="14" t="s">
        <v>8</v>
      </c>
      <c r="C166" s="49">
        <v>0.596</v>
      </c>
      <c r="D166" s="49">
        <v>0.829</v>
      </c>
      <c r="E166" s="49">
        <v>0.708</v>
      </c>
      <c r="F166" s="49">
        <v>0.72</v>
      </c>
      <c r="G166" s="49">
        <f>F166*104.1/100</f>
        <v>0.74952</v>
      </c>
      <c r="H166" s="49">
        <f>G166*105.7/100</f>
        <v>0.79224264</v>
      </c>
      <c r="I166" s="49">
        <f>H166*105.1/100</f>
        <v>0.83264701464</v>
      </c>
    </row>
    <row r="167" spans="1:9" ht="38.25" customHeight="1">
      <c r="A167" s="130"/>
      <c r="B167" s="14" t="s">
        <v>5</v>
      </c>
      <c r="C167" s="50">
        <v>79.2</v>
      </c>
      <c r="D167" s="50">
        <f aca="true" t="shared" si="28" ref="D167:I167">D166/C166*100</f>
        <v>139.0939597315436</v>
      </c>
      <c r="E167" s="50">
        <f t="shared" si="28"/>
        <v>85.40410132689988</v>
      </c>
      <c r="F167" s="50">
        <f t="shared" si="28"/>
        <v>101.69491525423729</v>
      </c>
      <c r="G167" s="50">
        <f t="shared" si="28"/>
        <v>104.1</v>
      </c>
      <c r="H167" s="50">
        <f t="shared" si="28"/>
        <v>105.69999999999999</v>
      </c>
      <c r="I167" s="50">
        <f t="shared" si="28"/>
        <v>105.1</v>
      </c>
    </row>
    <row r="168" spans="1:9" ht="20.25" customHeight="1">
      <c r="A168" s="132" t="s">
        <v>22</v>
      </c>
      <c r="B168" s="14" t="s">
        <v>8</v>
      </c>
      <c r="C168" s="49">
        <f aca="true" t="shared" si="29" ref="C168:I168">C171+C173+C175</f>
        <v>3.7159999999999997</v>
      </c>
      <c r="D168" s="49">
        <f t="shared" si="29"/>
        <v>4.709</v>
      </c>
      <c r="E168" s="49">
        <f t="shared" si="29"/>
        <v>4.199</v>
      </c>
      <c r="F168" s="49">
        <f t="shared" si="29"/>
        <v>4.28</v>
      </c>
      <c r="G168" s="49">
        <f t="shared" si="29"/>
        <v>4.45548</v>
      </c>
      <c r="H168" s="49">
        <f t="shared" si="29"/>
        <v>4.70944236</v>
      </c>
      <c r="I168" s="49">
        <f t="shared" si="29"/>
        <v>4.949623920359999</v>
      </c>
    </row>
    <row r="169" spans="1:9" ht="38.25" customHeight="1">
      <c r="A169" s="130"/>
      <c r="B169" s="14" t="s">
        <v>5</v>
      </c>
      <c r="C169" s="50">
        <v>84.4</v>
      </c>
      <c r="D169" s="50">
        <f aca="true" t="shared" si="30" ref="D169:I169">D168/C168*100</f>
        <v>126.72228202368139</v>
      </c>
      <c r="E169" s="50">
        <f t="shared" si="30"/>
        <v>89.16967509025271</v>
      </c>
      <c r="F169" s="50">
        <f t="shared" si="30"/>
        <v>101.9290307216004</v>
      </c>
      <c r="G169" s="50">
        <f t="shared" si="30"/>
        <v>104.1</v>
      </c>
      <c r="H169" s="50">
        <f t="shared" si="30"/>
        <v>105.69999999999999</v>
      </c>
      <c r="I169" s="50">
        <f t="shared" si="30"/>
        <v>105.09999999999997</v>
      </c>
    </row>
    <row r="170" spans="1:9" ht="15" customHeight="1">
      <c r="A170" s="130" t="s">
        <v>12</v>
      </c>
      <c r="B170" s="14"/>
      <c r="C170" s="51"/>
      <c r="D170" s="51"/>
      <c r="E170" s="53"/>
      <c r="F170" s="53"/>
      <c r="G170" s="53"/>
      <c r="H170" s="53"/>
      <c r="I170" s="53"/>
    </row>
    <row r="171" spans="1:9" ht="31.5" customHeight="1">
      <c r="A171" s="130" t="s">
        <v>17</v>
      </c>
      <c r="B171" s="14" t="s">
        <v>8</v>
      </c>
      <c r="C171" s="49">
        <v>0.11</v>
      </c>
      <c r="D171" s="49">
        <v>0.114</v>
      </c>
      <c r="E171" s="49">
        <v>0.145</v>
      </c>
      <c r="F171" s="49">
        <v>0.16</v>
      </c>
      <c r="G171" s="49">
        <f>F171*104.1/100</f>
        <v>0.16655999999999999</v>
      </c>
      <c r="H171" s="49">
        <f>G171*105.7/100</f>
        <v>0.17605391999999997</v>
      </c>
      <c r="I171" s="49">
        <f>H171*105.1/100</f>
        <v>0.18503266991999998</v>
      </c>
    </row>
    <row r="172" spans="1:9" ht="39.75" customHeight="1">
      <c r="A172" s="130"/>
      <c r="B172" s="14" t="s">
        <v>5</v>
      </c>
      <c r="C172" s="50">
        <v>52.9</v>
      </c>
      <c r="D172" s="50">
        <f aca="true" t="shared" si="31" ref="D172:I172">D171/C171*100</f>
        <v>103.63636363636364</v>
      </c>
      <c r="E172" s="50">
        <f t="shared" si="31"/>
        <v>127.19298245614034</v>
      </c>
      <c r="F172" s="50">
        <f t="shared" si="31"/>
        <v>110.34482758620692</v>
      </c>
      <c r="G172" s="50">
        <f t="shared" si="31"/>
        <v>104.1</v>
      </c>
      <c r="H172" s="50">
        <f t="shared" si="31"/>
        <v>105.69999999999999</v>
      </c>
      <c r="I172" s="50">
        <f t="shared" si="31"/>
        <v>105.1</v>
      </c>
    </row>
    <row r="173" spans="1:9" ht="30.75" customHeight="1">
      <c r="A173" s="130" t="s">
        <v>18</v>
      </c>
      <c r="B173" s="14" t="s">
        <v>8</v>
      </c>
      <c r="C173" s="51">
        <v>0.141</v>
      </c>
      <c r="D173" s="51">
        <v>0.063</v>
      </c>
      <c r="E173" s="51">
        <v>0.112</v>
      </c>
      <c r="F173" s="49">
        <v>0.12</v>
      </c>
      <c r="G173" s="49">
        <f>F173*104.1/100</f>
        <v>0.12491999999999999</v>
      </c>
      <c r="H173" s="49">
        <f>G173*105.7/100</f>
        <v>0.13204044</v>
      </c>
      <c r="I173" s="49">
        <f>H173*105.1/100</f>
        <v>0.13877450244</v>
      </c>
    </row>
    <row r="174" spans="1:9" ht="38.25" customHeight="1">
      <c r="A174" s="130"/>
      <c r="B174" s="14" t="s">
        <v>5</v>
      </c>
      <c r="C174" s="50">
        <v>391.7</v>
      </c>
      <c r="D174" s="50">
        <f aca="true" t="shared" si="32" ref="D174:I174">D173/C173*100</f>
        <v>44.68085106382979</v>
      </c>
      <c r="E174" s="50">
        <f t="shared" si="32"/>
        <v>177.7777777777778</v>
      </c>
      <c r="F174" s="50">
        <f t="shared" si="32"/>
        <v>107.14285714285714</v>
      </c>
      <c r="G174" s="50">
        <f t="shared" si="32"/>
        <v>104.1</v>
      </c>
      <c r="H174" s="50">
        <f t="shared" si="32"/>
        <v>105.70000000000002</v>
      </c>
      <c r="I174" s="50">
        <f t="shared" si="32"/>
        <v>105.1</v>
      </c>
    </row>
    <row r="175" spans="1:9" ht="18.75" customHeight="1">
      <c r="A175" s="130" t="s">
        <v>20</v>
      </c>
      <c r="B175" s="14" t="s">
        <v>8</v>
      </c>
      <c r="C175" s="49">
        <v>3.465</v>
      </c>
      <c r="D175" s="49">
        <v>4.532</v>
      </c>
      <c r="E175" s="49">
        <v>3.942</v>
      </c>
      <c r="F175" s="49">
        <v>4</v>
      </c>
      <c r="G175" s="49">
        <f>F175*104.1/100</f>
        <v>4.164</v>
      </c>
      <c r="H175" s="49">
        <f>G175*105.7/100</f>
        <v>4.401348</v>
      </c>
      <c r="I175" s="49">
        <f>H175*105.1/100</f>
        <v>4.625816747999999</v>
      </c>
    </row>
    <row r="176" spans="1:9" ht="41.25" customHeight="1">
      <c r="A176" s="130"/>
      <c r="B176" s="14" t="s">
        <v>5</v>
      </c>
      <c r="C176" s="50">
        <v>83.4</v>
      </c>
      <c r="D176" s="50">
        <f aca="true" t="shared" si="33" ref="D176:I176">D175/C175*100</f>
        <v>130.79365079365078</v>
      </c>
      <c r="E176" s="50">
        <f t="shared" si="33"/>
        <v>86.98146513680494</v>
      </c>
      <c r="F176" s="50">
        <f t="shared" si="33"/>
        <v>101.47133434804667</v>
      </c>
      <c r="G176" s="50">
        <f t="shared" si="33"/>
        <v>104.1</v>
      </c>
      <c r="H176" s="50">
        <f t="shared" si="33"/>
        <v>105.69999999999999</v>
      </c>
      <c r="I176" s="50">
        <f t="shared" si="33"/>
        <v>105.1</v>
      </c>
    </row>
    <row r="177" spans="1:9" ht="18" customHeight="1">
      <c r="A177" s="132" t="s">
        <v>23</v>
      </c>
      <c r="B177" s="14" t="s">
        <v>33</v>
      </c>
      <c r="C177" s="51">
        <f>C180+C182+C184</f>
        <v>0.29400000000000004</v>
      </c>
      <c r="D177" s="51">
        <f>D180+D182+D184</f>
        <v>0.35200000000000004</v>
      </c>
      <c r="E177" s="51">
        <f>E180+E182+E184</f>
        <v>0.465</v>
      </c>
      <c r="F177" s="49">
        <f>F180+F182+F184</f>
        <v>0.41200000000000003</v>
      </c>
      <c r="G177" s="49">
        <f>G182+G184</f>
        <v>0.428892</v>
      </c>
      <c r="H177" s="49">
        <f>H182+H184</f>
        <v>0.453338844</v>
      </c>
      <c r="I177" s="49">
        <f>I182+I184</f>
        <v>0.47645912504399995</v>
      </c>
    </row>
    <row r="178" spans="1:9" ht="36.75" customHeight="1">
      <c r="A178" s="130"/>
      <c r="B178" s="14" t="s">
        <v>5</v>
      </c>
      <c r="C178" s="50">
        <v>101.4</v>
      </c>
      <c r="D178" s="50">
        <f>D177/C177*100</f>
        <v>119.72789115646259</v>
      </c>
      <c r="E178" s="50">
        <f>E177/D177*100</f>
        <v>132.10227272727272</v>
      </c>
      <c r="F178" s="49">
        <f>F180+F182+F184</f>
        <v>0.41200000000000003</v>
      </c>
      <c r="G178" s="50">
        <f>G177/F177*100</f>
        <v>104.1</v>
      </c>
      <c r="H178" s="50">
        <f>H177/G177*100</f>
        <v>105.70000000000002</v>
      </c>
      <c r="I178" s="50">
        <f>I177/H177*100</f>
        <v>105.1</v>
      </c>
    </row>
    <row r="179" spans="1:9" ht="15" customHeight="1">
      <c r="A179" s="130" t="s">
        <v>12</v>
      </c>
      <c r="B179" s="14"/>
      <c r="C179" s="51"/>
      <c r="D179" s="51"/>
      <c r="E179" s="53"/>
      <c r="F179" s="53"/>
      <c r="G179" s="53"/>
      <c r="H179" s="53"/>
      <c r="I179" s="53"/>
    </row>
    <row r="180" spans="1:9" ht="33.75" customHeight="1">
      <c r="A180" s="130" t="s">
        <v>17</v>
      </c>
      <c r="B180" s="14" t="s">
        <v>33</v>
      </c>
      <c r="C180" s="51"/>
      <c r="D180" s="51"/>
      <c r="E180" s="53"/>
      <c r="F180" s="53"/>
      <c r="G180" s="53"/>
      <c r="H180" s="53"/>
      <c r="I180" s="53"/>
    </row>
    <row r="181" spans="1:9" ht="40.5" customHeight="1">
      <c r="A181" s="130"/>
      <c r="B181" s="14" t="s">
        <v>5</v>
      </c>
      <c r="C181" s="51"/>
      <c r="D181" s="51"/>
      <c r="E181" s="53"/>
      <c r="F181" s="53"/>
      <c r="G181" s="53"/>
      <c r="H181" s="53"/>
      <c r="I181" s="53"/>
    </row>
    <row r="182" spans="1:9" ht="31.5" customHeight="1">
      <c r="A182" s="130" t="s">
        <v>18</v>
      </c>
      <c r="B182" s="14" t="s">
        <v>33</v>
      </c>
      <c r="C182" s="51">
        <v>0.013</v>
      </c>
      <c r="D182" s="51">
        <v>0.018</v>
      </c>
      <c r="E182" s="51">
        <v>0.011</v>
      </c>
      <c r="F182" s="51">
        <v>0.012</v>
      </c>
      <c r="G182" s="49">
        <f>F182*104.1/100</f>
        <v>0.012491999999999998</v>
      </c>
      <c r="H182" s="49">
        <f>G182*105.7/100</f>
        <v>0.013204044</v>
      </c>
      <c r="I182" s="49">
        <f>H182*105.1/100</f>
        <v>0.013877450243999999</v>
      </c>
    </row>
    <row r="183" spans="1:9" ht="39" customHeight="1">
      <c r="A183" s="130"/>
      <c r="B183" s="14" t="s">
        <v>5</v>
      </c>
      <c r="C183" s="50">
        <v>433.3</v>
      </c>
      <c r="D183" s="50">
        <f aca="true" t="shared" si="34" ref="D183:I183">D182/C182*100</f>
        <v>138.46153846153845</v>
      </c>
      <c r="E183" s="50">
        <f t="shared" si="34"/>
        <v>61.111111111111114</v>
      </c>
      <c r="F183" s="50">
        <f t="shared" si="34"/>
        <v>109.09090909090911</v>
      </c>
      <c r="G183" s="50">
        <f t="shared" si="34"/>
        <v>104.09999999999997</v>
      </c>
      <c r="H183" s="50">
        <f t="shared" si="34"/>
        <v>105.70000000000002</v>
      </c>
      <c r="I183" s="50">
        <f t="shared" si="34"/>
        <v>105.1</v>
      </c>
    </row>
    <row r="184" spans="1:9" ht="21" customHeight="1">
      <c r="A184" s="130" t="s">
        <v>20</v>
      </c>
      <c r="B184" s="14" t="s">
        <v>33</v>
      </c>
      <c r="C184" s="49">
        <v>0.281</v>
      </c>
      <c r="D184" s="49">
        <v>0.334</v>
      </c>
      <c r="E184" s="49">
        <v>0.454</v>
      </c>
      <c r="F184" s="49">
        <v>0.4</v>
      </c>
      <c r="G184" s="49">
        <f>F184*104.1/100</f>
        <v>0.4164</v>
      </c>
      <c r="H184" s="49">
        <f>G184*105.7/100</f>
        <v>0.4401348</v>
      </c>
      <c r="I184" s="49">
        <f>H184*105.1/100</f>
        <v>0.46258167479999995</v>
      </c>
    </row>
    <row r="185" spans="1:9" ht="38.25" customHeight="1">
      <c r="A185" s="130"/>
      <c r="B185" s="14" t="s">
        <v>5</v>
      </c>
      <c r="C185" s="50">
        <v>97.9</v>
      </c>
      <c r="D185" s="50">
        <f aca="true" t="shared" si="35" ref="D185:I185">D184/C184*100</f>
        <v>118.86120996441281</v>
      </c>
      <c r="E185" s="50">
        <f t="shared" si="35"/>
        <v>135.92814371257484</v>
      </c>
      <c r="F185" s="50">
        <f t="shared" si="35"/>
        <v>88.1057268722467</v>
      </c>
      <c r="G185" s="50">
        <f t="shared" si="35"/>
        <v>104.1</v>
      </c>
      <c r="H185" s="50">
        <f t="shared" si="35"/>
        <v>105.69999999999999</v>
      </c>
      <c r="I185" s="50">
        <f t="shared" si="35"/>
        <v>105.1</v>
      </c>
    </row>
    <row r="186" spans="1:9" ht="24" customHeight="1">
      <c r="A186" s="173" t="s">
        <v>24</v>
      </c>
      <c r="B186" s="173"/>
      <c r="C186" s="173"/>
      <c r="D186" s="173"/>
      <c r="E186" s="173"/>
      <c r="F186" s="173"/>
      <c r="G186" s="173"/>
      <c r="H186" s="173"/>
      <c r="I186" s="173"/>
    </row>
    <row r="187" spans="1:9" ht="15" customHeight="1">
      <c r="A187" s="130" t="s">
        <v>25</v>
      </c>
      <c r="B187" s="13" t="s">
        <v>34</v>
      </c>
      <c r="C187" s="51">
        <v>0.162</v>
      </c>
      <c r="D187" s="49">
        <v>0.042</v>
      </c>
      <c r="E187" s="49">
        <v>0.071</v>
      </c>
      <c r="F187" s="49">
        <v>0.06</v>
      </c>
      <c r="G187" s="49">
        <f>F187*105.9/100</f>
        <v>0.06354</v>
      </c>
      <c r="H187" s="49">
        <f>G187*106.5/100</f>
        <v>0.0676701</v>
      </c>
      <c r="I187" s="49">
        <f>H187*104.6/100</f>
        <v>0.07078292459999999</v>
      </c>
    </row>
    <row r="188" spans="1:9" ht="15" customHeight="1">
      <c r="A188" s="130" t="s">
        <v>26</v>
      </c>
      <c r="B188" s="13" t="s">
        <v>34</v>
      </c>
      <c r="C188" s="49">
        <v>0.775</v>
      </c>
      <c r="D188" s="49">
        <v>0.779</v>
      </c>
      <c r="E188" s="49">
        <v>0.952</v>
      </c>
      <c r="F188" s="49">
        <v>0.9</v>
      </c>
      <c r="G188" s="49">
        <f>F188*105.9/100</f>
        <v>0.9531000000000001</v>
      </c>
      <c r="H188" s="49">
        <f>G188*106.5/100</f>
        <v>1.0150515</v>
      </c>
      <c r="I188" s="49">
        <f>H188*104.6/100</f>
        <v>1.0617438689999998</v>
      </c>
    </row>
    <row r="189" spans="1:9" ht="15" customHeight="1">
      <c r="A189" s="130" t="s">
        <v>27</v>
      </c>
      <c r="B189" s="13" t="s">
        <v>34</v>
      </c>
      <c r="C189" s="49">
        <v>0.143</v>
      </c>
      <c r="D189" s="49">
        <v>0.141</v>
      </c>
      <c r="E189" s="49">
        <v>0.139</v>
      </c>
      <c r="F189" s="49">
        <v>0.14</v>
      </c>
      <c r="G189" s="49">
        <f>F189*105.9/100</f>
        <v>0.14826000000000003</v>
      </c>
      <c r="H189" s="49">
        <f>G189*106.5/100</f>
        <v>0.15789690000000003</v>
      </c>
      <c r="I189" s="49">
        <f>H189*104.6/100</f>
        <v>0.16516015740000003</v>
      </c>
    </row>
    <row r="190" spans="1:9" ht="21" customHeight="1">
      <c r="A190" s="173" t="s">
        <v>107</v>
      </c>
      <c r="B190" s="173"/>
      <c r="C190" s="173"/>
      <c r="D190" s="173"/>
      <c r="E190" s="173"/>
      <c r="F190" s="173"/>
      <c r="G190" s="173"/>
      <c r="H190" s="173"/>
      <c r="I190" s="173"/>
    </row>
    <row r="191" spans="1:9" ht="25.5" customHeight="1">
      <c r="A191" s="130" t="s">
        <v>28</v>
      </c>
      <c r="B191" s="14" t="s">
        <v>35</v>
      </c>
      <c r="C191" s="49">
        <v>2.327</v>
      </c>
      <c r="D191" s="49">
        <v>2.07</v>
      </c>
      <c r="E191" s="49">
        <v>2.309</v>
      </c>
      <c r="F191" s="49">
        <v>2.25</v>
      </c>
      <c r="G191" s="49">
        <f>F191*104.1/100</f>
        <v>2.34225</v>
      </c>
      <c r="H191" s="49">
        <f>G191*105.7/100</f>
        <v>2.47575825</v>
      </c>
      <c r="I191" s="49">
        <f>H191*105.1/100</f>
        <v>2.6020219207500004</v>
      </c>
    </row>
    <row r="192" spans="1:9" ht="24.75" customHeight="1">
      <c r="A192" s="130" t="s">
        <v>29</v>
      </c>
      <c r="B192" s="14" t="s">
        <v>35</v>
      </c>
      <c r="C192" s="49">
        <v>1.239</v>
      </c>
      <c r="D192" s="49">
        <v>1.105</v>
      </c>
      <c r="E192" s="49">
        <v>1.166</v>
      </c>
      <c r="F192" s="49">
        <v>1.16</v>
      </c>
      <c r="G192" s="49">
        <f>F192*104.1/100</f>
        <v>1.20756</v>
      </c>
      <c r="H192" s="49">
        <f>G192*105.7/100</f>
        <v>1.27639092</v>
      </c>
      <c r="I192" s="49">
        <f>H192*105.1/100</f>
        <v>1.3414868569200002</v>
      </c>
    </row>
    <row r="193" spans="1:9" ht="24.75" customHeight="1">
      <c r="A193" s="130" t="s">
        <v>30</v>
      </c>
      <c r="B193" s="14" t="s">
        <v>35</v>
      </c>
      <c r="C193" s="49">
        <v>0.856</v>
      </c>
      <c r="D193" s="49">
        <v>0.974</v>
      </c>
      <c r="E193" s="49">
        <v>0.545</v>
      </c>
      <c r="F193" s="49">
        <v>0.6</v>
      </c>
      <c r="G193" s="49">
        <f>F193*104.1/100</f>
        <v>0.6245999999999999</v>
      </c>
      <c r="H193" s="49">
        <f>G193*105.7/100</f>
        <v>0.6602022</v>
      </c>
      <c r="I193" s="49">
        <f>H193*105.1/100</f>
        <v>0.6938725122</v>
      </c>
    </row>
    <row r="194" spans="1:9" ht="25.5" customHeight="1">
      <c r="A194" s="130" t="s">
        <v>31</v>
      </c>
      <c r="B194" s="14" t="s">
        <v>35</v>
      </c>
      <c r="C194" s="49">
        <v>3.024</v>
      </c>
      <c r="D194" s="49">
        <v>3.425</v>
      </c>
      <c r="E194" s="49">
        <v>3.483</v>
      </c>
      <c r="F194" s="49">
        <v>3.35</v>
      </c>
      <c r="G194" s="49">
        <f>F194*104.1/100</f>
        <v>3.48735</v>
      </c>
      <c r="H194" s="49">
        <f>G194*105.7/100</f>
        <v>3.6861289500000005</v>
      </c>
      <c r="I194" s="49">
        <f>H194*105.1/100</f>
        <v>3.8741215264500006</v>
      </c>
    </row>
    <row r="195" spans="1:9" s="32" customFormat="1" ht="20.25" customHeight="1">
      <c r="A195" s="166" t="s">
        <v>114</v>
      </c>
      <c r="B195" s="166"/>
      <c r="C195" s="166"/>
      <c r="D195" s="166"/>
      <c r="E195" s="166"/>
      <c r="F195" s="166"/>
      <c r="G195" s="166"/>
      <c r="H195" s="166"/>
      <c r="I195" s="166"/>
    </row>
    <row r="196" spans="1:9" ht="18.75" customHeight="1">
      <c r="A196" s="168" t="s">
        <v>38</v>
      </c>
      <c r="B196" s="168"/>
      <c r="C196" s="168"/>
      <c r="D196" s="168"/>
      <c r="E196" s="168"/>
      <c r="F196" s="168"/>
      <c r="G196" s="168"/>
      <c r="H196" s="168"/>
      <c r="I196" s="168"/>
    </row>
    <row r="197" spans="1:9" ht="27.75" customHeight="1">
      <c r="A197" s="23" t="s">
        <v>2</v>
      </c>
      <c r="B197" s="14" t="s">
        <v>7</v>
      </c>
      <c r="C197" s="122">
        <f>185.498+6.912+20.6</f>
        <v>213.01</v>
      </c>
      <c r="D197" s="122">
        <f>D199+2.6597+8.779+14.5</f>
        <v>1427.3826999999999</v>
      </c>
      <c r="E197" s="122">
        <f>E199+10.366</f>
        <v>1601.968</v>
      </c>
      <c r="F197" s="123">
        <f>F199+6.268</f>
        <v>406.11199999999985</v>
      </c>
      <c r="G197" s="123">
        <f>G199+4.948</f>
        <v>189.961</v>
      </c>
      <c r="H197" s="123">
        <f>H199+4.368</f>
        <v>291.455</v>
      </c>
      <c r="I197" s="123">
        <f>I199+4.588</f>
        <v>150.765</v>
      </c>
    </row>
    <row r="198" spans="1:9" ht="39.75" customHeight="1">
      <c r="A198" s="23" t="s">
        <v>13</v>
      </c>
      <c r="B198" s="14" t="s">
        <v>5</v>
      </c>
      <c r="C198" s="56">
        <f>C197/1.078/1043.7*100</f>
        <v>18.932394615062044</v>
      </c>
      <c r="D198" s="56">
        <f>D197/1.083/C197*100</f>
        <v>618.7453950614122</v>
      </c>
      <c r="E198" s="56">
        <f>E197/1.087/D197*100</f>
        <v>103.24852682715036</v>
      </c>
      <c r="F198" s="115">
        <f>F197/1.077/E197*100</f>
        <v>23.538364431990054</v>
      </c>
      <c r="G198" s="115">
        <f>G197/1.073/F197*100</f>
        <v>43.59321533418574</v>
      </c>
      <c r="H198" s="115">
        <f>H197/1.071/G197*100</f>
        <v>143.25757396239044</v>
      </c>
      <c r="I198" s="115">
        <f>I197/1.065/H197*100</f>
        <v>48.57126495743431</v>
      </c>
    </row>
    <row r="199" spans="1:9" ht="48" customHeight="1">
      <c r="A199" s="31" t="s">
        <v>145</v>
      </c>
      <c r="B199" s="15"/>
      <c r="C199" s="57">
        <f>C201+C210+C213+C216+C219+C222+C225+C228+C231+4.6+1.7</f>
        <v>188.46999999999997</v>
      </c>
      <c r="D199" s="57">
        <f>D201+D210+D213+D216+D219+D222+D225+D228+D231+7.181+4.384</f>
        <v>1401.444</v>
      </c>
      <c r="E199" s="57">
        <f>E201+E210+E213+E216+E219+E222+E225+E228+E231+7.852+2.083</f>
        <v>1591.602</v>
      </c>
      <c r="F199" s="118">
        <f>F201+F210+F213+F216+F219+F222+F225+F228+F231+8.282+3.381</f>
        <v>399.8439999999999</v>
      </c>
      <c r="G199" s="118">
        <f>G201+G210+G213+G216+G219+G222+G225+G228+G231+5.2+5</f>
        <v>185.013</v>
      </c>
      <c r="H199" s="118">
        <f>H201+H210+H213+H216+H219+H222+H225+H228+H231+5.2+5</f>
        <v>287.087</v>
      </c>
      <c r="I199" s="118">
        <f>I201+I210+I213+I216+I219+I222+I225+I228+I231+5.2+5</f>
        <v>146.177</v>
      </c>
    </row>
    <row r="200" spans="1:9" s="17" customFormat="1" ht="18.75" customHeight="1">
      <c r="A200" s="165" t="s">
        <v>156</v>
      </c>
      <c r="B200" s="165"/>
      <c r="C200" s="165"/>
      <c r="D200" s="165"/>
      <c r="E200" s="165"/>
      <c r="F200" s="165"/>
      <c r="G200" s="165"/>
      <c r="H200" s="165"/>
      <c r="I200" s="165"/>
    </row>
    <row r="201" spans="1:9" ht="27" customHeight="1">
      <c r="A201" s="133" t="s">
        <v>2</v>
      </c>
      <c r="B201" s="15" t="s">
        <v>7</v>
      </c>
      <c r="C201" s="56">
        <v>0</v>
      </c>
      <c r="D201" s="56">
        <v>0</v>
      </c>
      <c r="E201" s="56">
        <v>0</v>
      </c>
      <c r="F201" s="56">
        <v>0</v>
      </c>
      <c r="G201" s="56">
        <v>0</v>
      </c>
      <c r="H201" s="56">
        <v>0</v>
      </c>
      <c r="I201" s="56">
        <v>0</v>
      </c>
    </row>
    <row r="202" spans="1:9" ht="39" customHeight="1">
      <c r="A202" s="133" t="s">
        <v>13</v>
      </c>
      <c r="B202" s="15" t="s">
        <v>5</v>
      </c>
      <c r="C202" s="56"/>
      <c r="D202" s="56"/>
      <c r="E202" s="56"/>
      <c r="F202" s="56"/>
      <c r="G202" s="56"/>
      <c r="H202" s="56"/>
      <c r="I202" s="117"/>
    </row>
    <row r="203" spans="1:9" ht="18" customHeight="1">
      <c r="A203" s="165" t="s">
        <v>157</v>
      </c>
      <c r="B203" s="165"/>
      <c r="C203" s="165"/>
      <c r="D203" s="165"/>
      <c r="E203" s="165"/>
      <c r="F203" s="165"/>
      <c r="G203" s="165"/>
      <c r="H203" s="165"/>
      <c r="I203" s="165"/>
    </row>
    <row r="204" spans="1:9" ht="27" customHeight="1">
      <c r="A204" s="133" t="s">
        <v>2</v>
      </c>
      <c r="B204" s="15" t="s">
        <v>7</v>
      </c>
      <c r="C204" s="56">
        <v>0</v>
      </c>
      <c r="D204" s="56">
        <v>0</v>
      </c>
      <c r="E204" s="56">
        <v>0</v>
      </c>
      <c r="F204" s="56">
        <v>0</v>
      </c>
      <c r="G204" s="56">
        <v>0</v>
      </c>
      <c r="H204" s="56">
        <v>0</v>
      </c>
      <c r="I204" s="56">
        <v>0</v>
      </c>
    </row>
    <row r="205" spans="1:9" ht="37.5" customHeight="1">
      <c r="A205" s="133" t="s">
        <v>13</v>
      </c>
      <c r="B205" s="15" t="s">
        <v>5</v>
      </c>
      <c r="C205" s="56"/>
      <c r="D205" s="56"/>
      <c r="E205" s="58"/>
      <c r="F205" s="56"/>
      <c r="G205" s="56"/>
      <c r="H205" s="56"/>
      <c r="I205" s="117"/>
    </row>
    <row r="206" spans="1:9" s="17" customFormat="1" ht="18" customHeight="1">
      <c r="A206" s="165" t="s">
        <v>158</v>
      </c>
      <c r="B206" s="165"/>
      <c r="C206" s="165"/>
      <c r="D206" s="165"/>
      <c r="E206" s="165"/>
      <c r="F206" s="165"/>
      <c r="G206" s="165"/>
      <c r="H206" s="165"/>
      <c r="I206" s="165"/>
    </row>
    <row r="207" spans="1:9" ht="25.5" customHeight="1">
      <c r="A207" s="133" t="s">
        <v>2</v>
      </c>
      <c r="B207" s="15" t="s">
        <v>7</v>
      </c>
      <c r="C207" s="56">
        <v>0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</row>
    <row r="208" spans="1:9" ht="37.5" customHeight="1">
      <c r="A208" s="133" t="s">
        <v>13</v>
      </c>
      <c r="B208" s="15" t="s">
        <v>5</v>
      </c>
      <c r="C208" s="56"/>
      <c r="D208" s="56"/>
      <c r="E208" s="58"/>
      <c r="F208" s="106"/>
      <c r="G208" s="106"/>
      <c r="H208" s="106"/>
      <c r="I208" s="107"/>
    </row>
    <row r="209" spans="1:9" s="17" customFormat="1" ht="18.75" customHeight="1">
      <c r="A209" s="165" t="s">
        <v>159</v>
      </c>
      <c r="B209" s="165"/>
      <c r="C209" s="165"/>
      <c r="D209" s="165"/>
      <c r="E209" s="165"/>
      <c r="F209" s="165"/>
      <c r="G209" s="165"/>
      <c r="H209" s="165"/>
      <c r="I209" s="165"/>
    </row>
    <row r="210" spans="1:9" ht="25.5" customHeight="1">
      <c r="A210" s="133" t="s">
        <v>2</v>
      </c>
      <c r="B210" s="15" t="s">
        <v>7</v>
      </c>
      <c r="C210" s="56">
        <f>0.649</f>
        <v>0.649</v>
      </c>
      <c r="D210" s="56">
        <v>4.19</v>
      </c>
      <c r="E210" s="56">
        <f>1.427</f>
        <v>1.427</v>
      </c>
      <c r="F210" s="114">
        <v>9.111</v>
      </c>
      <c r="G210" s="56">
        <v>4.6</v>
      </c>
      <c r="H210" s="56">
        <v>4.7</v>
      </c>
      <c r="I210" s="56">
        <v>4.9</v>
      </c>
    </row>
    <row r="211" spans="1:9" ht="39" customHeight="1">
      <c r="A211" s="133" t="s">
        <v>13</v>
      </c>
      <c r="B211" s="15" t="s">
        <v>5</v>
      </c>
      <c r="C211" s="56">
        <f>C210/1.078/0.9*100</f>
        <v>66.89342403628117</v>
      </c>
      <c r="D211" s="56">
        <f>D210/1.083/C210*100</f>
        <v>596.1298510244471</v>
      </c>
      <c r="E211" s="56">
        <f>E210/1.087/D210*100</f>
        <v>31.331443639629114</v>
      </c>
      <c r="F211" s="56">
        <f>F210/1.077/E210*100</f>
        <v>592.8248092400248</v>
      </c>
      <c r="G211" s="56">
        <f>G210/1.073/F210*100</f>
        <v>47.053514063835046</v>
      </c>
      <c r="H211" s="56">
        <f>H210/1.071/G210*100</f>
        <v>95.40047903219259</v>
      </c>
      <c r="I211" s="56">
        <f>I210/1.065/H210*100</f>
        <v>97.89231844970534</v>
      </c>
    </row>
    <row r="212" spans="1:9" s="17" customFormat="1" ht="18.75" customHeight="1">
      <c r="A212" s="165" t="s">
        <v>160</v>
      </c>
      <c r="B212" s="165"/>
      <c r="C212" s="165"/>
      <c r="D212" s="165"/>
      <c r="E212" s="165"/>
      <c r="F212" s="165"/>
      <c r="G212" s="165"/>
      <c r="H212" s="165"/>
      <c r="I212" s="165"/>
    </row>
    <row r="213" spans="1:9" ht="30" customHeight="1">
      <c r="A213" s="133" t="s">
        <v>2</v>
      </c>
      <c r="B213" s="15" t="s">
        <v>7</v>
      </c>
      <c r="C213" s="56">
        <v>82.438</v>
      </c>
      <c r="D213" s="56">
        <v>69.428</v>
      </c>
      <c r="E213" s="56">
        <f>26.073</f>
        <v>26.073</v>
      </c>
      <c r="F213" s="114">
        <v>25.936</v>
      </c>
      <c r="G213" s="56">
        <v>23.42</v>
      </c>
      <c r="H213" s="56">
        <v>81.062</v>
      </c>
      <c r="I213" s="56">
        <v>17.122</v>
      </c>
    </row>
    <row r="214" spans="1:9" ht="38.25" customHeight="1">
      <c r="A214" s="133" t="s">
        <v>13</v>
      </c>
      <c r="B214" s="15" t="s">
        <v>5</v>
      </c>
      <c r="C214" s="56">
        <f>C213/1.078/114.9*100</f>
        <v>66.55622134920904</v>
      </c>
      <c r="D214" s="56">
        <f>D213/1.083/C213*100</f>
        <v>77.76402857900854</v>
      </c>
      <c r="E214" s="56">
        <f>E213/1.087/D213*100</f>
        <v>34.548309834617044</v>
      </c>
      <c r="F214" s="56">
        <f>F213/1.077/E213*100</f>
        <v>92.3626297295918</v>
      </c>
      <c r="G214" s="56">
        <f>G213/1.073/F213*100</f>
        <v>84.15582295052185</v>
      </c>
      <c r="H214" s="56">
        <f>H213/1.071/G213*100</f>
        <v>323.1773779822205</v>
      </c>
      <c r="I214" s="56">
        <f>I213/1.065/H213*100</f>
        <v>19.832961566658017</v>
      </c>
    </row>
    <row r="215" spans="1:9" s="17" customFormat="1" ht="19.5" customHeight="1">
      <c r="A215" s="165" t="s">
        <v>161</v>
      </c>
      <c r="B215" s="165"/>
      <c r="C215" s="165"/>
      <c r="D215" s="165"/>
      <c r="E215" s="165"/>
      <c r="F215" s="165"/>
      <c r="G215" s="165"/>
      <c r="H215" s="165"/>
      <c r="I215" s="165"/>
    </row>
    <row r="216" spans="1:9" ht="26.25" customHeight="1">
      <c r="A216" s="133" t="s">
        <v>2</v>
      </c>
      <c r="B216" s="15" t="s">
        <v>7</v>
      </c>
      <c r="C216" s="56">
        <v>5.463</v>
      </c>
      <c r="D216" s="56">
        <v>2.276</v>
      </c>
      <c r="E216" s="56">
        <v>3.73</v>
      </c>
      <c r="F216" s="114">
        <v>3.447</v>
      </c>
      <c r="G216" s="56">
        <v>8.5</v>
      </c>
      <c r="H216" s="56">
        <v>9.5</v>
      </c>
      <c r="I216" s="56">
        <v>10.5</v>
      </c>
    </row>
    <row r="217" spans="1:9" ht="38.25" customHeight="1">
      <c r="A217" s="133" t="s">
        <v>13</v>
      </c>
      <c r="B217" s="15" t="s">
        <v>5</v>
      </c>
      <c r="C217" s="56">
        <f>C216/1.078/13.1*100</f>
        <v>38.68487020068263</v>
      </c>
      <c r="D217" s="56">
        <f>D216/1.083/C216*100</f>
        <v>38.469150901667206</v>
      </c>
      <c r="E217" s="56">
        <f>E216/1.087/D216*100</f>
        <v>150.76725577725574</v>
      </c>
      <c r="F217" s="56">
        <f>F216/1.077/E216*100</f>
        <v>85.80582045748169</v>
      </c>
      <c r="G217" s="56">
        <f>G216/1.073/F216*100</f>
        <v>229.81476119137056</v>
      </c>
      <c r="H217" s="56">
        <f>H216/1.071/G216*100</f>
        <v>104.355467677267</v>
      </c>
      <c r="I217" s="56">
        <f>I216/1.065/H216*100</f>
        <v>103.78057820607857</v>
      </c>
    </row>
    <row r="218" spans="1:9" s="17" customFormat="1" ht="18.75" customHeight="1">
      <c r="A218" s="165" t="s">
        <v>162</v>
      </c>
      <c r="B218" s="165"/>
      <c r="C218" s="165"/>
      <c r="D218" s="165"/>
      <c r="E218" s="165"/>
      <c r="F218" s="165"/>
      <c r="G218" s="165"/>
      <c r="H218" s="165"/>
      <c r="I218" s="165"/>
    </row>
    <row r="219" spans="1:9" ht="27" customHeight="1">
      <c r="A219" s="133" t="s">
        <v>2</v>
      </c>
      <c r="B219" s="15" t="s">
        <v>7</v>
      </c>
      <c r="C219" s="56">
        <v>0.001</v>
      </c>
      <c r="D219" s="56">
        <v>1.816</v>
      </c>
      <c r="E219" s="56">
        <f>0.2</f>
        <v>0.2</v>
      </c>
      <c r="F219" s="115">
        <v>0.2</v>
      </c>
      <c r="G219" s="115">
        <v>0.2</v>
      </c>
      <c r="H219" s="115">
        <v>0.2</v>
      </c>
      <c r="I219" s="115">
        <v>0.2</v>
      </c>
    </row>
    <row r="220" spans="1:9" ht="39" customHeight="1">
      <c r="A220" s="133" t="s">
        <v>13</v>
      </c>
      <c r="B220" s="15" t="s">
        <v>5</v>
      </c>
      <c r="C220" s="56">
        <f>C219/1.078/0.1*100</f>
        <v>0.9276437847866418</v>
      </c>
      <c r="D220" s="56"/>
      <c r="E220" s="56">
        <f>E219/1.087/D219*100</f>
        <v>10.131753320175564</v>
      </c>
      <c r="F220" s="115">
        <f>F219/1.077/E219*100</f>
        <v>92.85051067780873</v>
      </c>
      <c r="G220" s="115">
        <f>G219/1.073/F219*100</f>
        <v>93.19664492078286</v>
      </c>
      <c r="H220" s="115">
        <f>H219/1.071/G219*100</f>
        <v>93.37068160597573</v>
      </c>
      <c r="I220" s="115">
        <f>I219/1.065/H219*100</f>
        <v>93.89671361502347</v>
      </c>
    </row>
    <row r="221" spans="1:9" s="17" customFormat="1" ht="20.25" customHeight="1">
      <c r="A221" s="165" t="s">
        <v>163</v>
      </c>
      <c r="B221" s="165"/>
      <c r="C221" s="165"/>
      <c r="D221" s="165"/>
      <c r="E221" s="165"/>
      <c r="F221" s="165"/>
      <c r="G221" s="165"/>
      <c r="H221" s="165"/>
      <c r="I221" s="165"/>
    </row>
    <row r="222" spans="1:9" ht="28.5" customHeight="1">
      <c r="A222" s="133" t="s">
        <v>2</v>
      </c>
      <c r="B222" s="15" t="s">
        <v>7</v>
      </c>
      <c r="C222" s="56">
        <v>49.596</v>
      </c>
      <c r="D222" s="56">
        <f>1255.249+16.392+15.384+5.829</f>
        <v>1292.854</v>
      </c>
      <c r="E222" s="56">
        <v>1437.329</v>
      </c>
      <c r="F222" s="115">
        <v>315.186</v>
      </c>
      <c r="G222" s="115">
        <v>117.449</v>
      </c>
      <c r="H222" s="115">
        <v>162.712</v>
      </c>
      <c r="I222" s="115">
        <v>84.542</v>
      </c>
    </row>
    <row r="223" spans="1:9" ht="42" customHeight="1">
      <c r="A223" s="133" t="s">
        <v>13</v>
      </c>
      <c r="B223" s="15" t="s">
        <v>5</v>
      </c>
      <c r="C223" s="56">
        <f>C222/1.078/821.4*100</f>
        <v>5.601098265190929</v>
      </c>
      <c r="D223" s="56">
        <f>D222/1.083/C222*100</f>
        <v>2406.990496135832</v>
      </c>
      <c r="E223" s="56">
        <f>E222/1.087/D222*100</f>
        <v>102.27680684814091</v>
      </c>
      <c r="F223" s="115">
        <f>F222/1.077/E222*100</f>
        <v>20.360808874304922</v>
      </c>
      <c r="G223" s="115">
        <f>G222/1.073/F222*100</f>
        <v>34.728232692127904</v>
      </c>
      <c r="H223" s="115">
        <f>H222/1.071/G222*100</f>
        <v>129.35427585991812</v>
      </c>
      <c r="I223" s="115">
        <f>I222/1.065/H222*100</f>
        <v>48.78691161341091</v>
      </c>
    </row>
    <row r="224" spans="1:9" s="17" customFormat="1" ht="19.5" customHeight="1">
      <c r="A224" s="165" t="s">
        <v>164</v>
      </c>
      <c r="B224" s="165"/>
      <c r="C224" s="165"/>
      <c r="D224" s="165"/>
      <c r="E224" s="165"/>
      <c r="F224" s="165"/>
      <c r="G224" s="165"/>
      <c r="H224" s="165"/>
      <c r="I224" s="165"/>
    </row>
    <row r="225" spans="1:9" ht="29.25" customHeight="1">
      <c r="A225" s="133" t="s">
        <v>2</v>
      </c>
      <c r="B225" s="15" t="s">
        <v>7</v>
      </c>
      <c r="C225" s="56">
        <v>3.658</v>
      </c>
      <c r="D225" s="56">
        <v>0.254</v>
      </c>
      <c r="E225" s="56">
        <v>39.917</v>
      </c>
      <c r="F225" s="115">
        <v>5.03</v>
      </c>
      <c r="G225" s="115">
        <v>0.1</v>
      </c>
      <c r="H225" s="115">
        <v>0.1</v>
      </c>
      <c r="I225" s="115">
        <v>0.1</v>
      </c>
    </row>
    <row r="226" spans="1:9" ht="37.5" customHeight="1">
      <c r="A226" s="133" t="s">
        <v>13</v>
      </c>
      <c r="B226" s="15" t="s">
        <v>5</v>
      </c>
      <c r="C226" s="56">
        <f>C225/1.078/9.2*100</f>
        <v>36.88392352988627</v>
      </c>
      <c r="D226" s="56">
        <f>D225/1.083/C225*100</f>
        <v>6.411528230665582</v>
      </c>
      <c r="E226" s="56">
        <f>E225/1.087/D225*100</f>
        <v>14457.547682344677</v>
      </c>
      <c r="F226" s="115">
        <f>F225/1.077/E225*100</f>
        <v>11.700229694350226</v>
      </c>
      <c r="G226" s="115">
        <f>G225/1.073/F225*100</f>
        <v>1.8528160024012494</v>
      </c>
      <c r="H226" s="115">
        <f>H225/1.071/G225*100</f>
        <v>93.37068160597573</v>
      </c>
      <c r="I226" s="115">
        <f>I225/1.065/H225*100</f>
        <v>93.89671361502347</v>
      </c>
    </row>
    <row r="227" spans="1:9" s="17" customFormat="1" ht="20.25" customHeight="1">
      <c r="A227" s="165" t="s">
        <v>165</v>
      </c>
      <c r="B227" s="165"/>
      <c r="C227" s="165"/>
      <c r="D227" s="165"/>
      <c r="E227" s="165"/>
      <c r="F227" s="165"/>
      <c r="G227" s="165"/>
      <c r="H227" s="165"/>
      <c r="I227" s="165"/>
    </row>
    <row r="228" spans="1:9" ht="30" customHeight="1">
      <c r="A228" s="133" t="s">
        <v>2</v>
      </c>
      <c r="B228" s="15" t="s">
        <v>7</v>
      </c>
      <c r="C228" s="59">
        <v>27.293</v>
      </c>
      <c r="D228" s="59">
        <v>5.818</v>
      </c>
      <c r="E228" s="59">
        <v>23.251</v>
      </c>
      <c r="F228" s="116">
        <v>23.525</v>
      </c>
      <c r="G228" s="116">
        <v>13.054</v>
      </c>
      <c r="H228" s="116">
        <v>11.083</v>
      </c>
      <c r="I228" s="116">
        <v>11.083</v>
      </c>
    </row>
    <row r="229" spans="1:9" ht="38.25" customHeight="1">
      <c r="A229" s="133" t="s">
        <v>13</v>
      </c>
      <c r="B229" s="15" t="s">
        <v>5</v>
      </c>
      <c r="C229" s="56">
        <f>C228/1.078/19.6*100</f>
        <v>129.17439703153988</v>
      </c>
      <c r="D229" s="56">
        <f>D228/1.083/C228*100</f>
        <v>19.683122034104848</v>
      </c>
      <c r="E229" s="56">
        <f>E228/1.087/D228*100</f>
        <v>367.6532209938829</v>
      </c>
      <c r="F229" s="115">
        <f>F228/1.082/E228*100</f>
        <v>93.51057665239846</v>
      </c>
      <c r="G229" s="115">
        <f>G228/1.075/F228*100</f>
        <v>51.618515680992516</v>
      </c>
      <c r="H229" s="115">
        <f>H228/1.073/G228*100</f>
        <v>79.12505099257211</v>
      </c>
      <c r="I229" s="115">
        <f>I228/1.072/H228*100</f>
        <v>93.28358208955223</v>
      </c>
    </row>
    <row r="230" spans="1:9" s="17" customFormat="1" ht="18" customHeight="1">
      <c r="A230" s="165" t="s">
        <v>166</v>
      </c>
      <c r="B230" s="165"/>
      <c r="C230" s="165"/>
      <c r="D230" s="165"/>
      <c r="E230" s="165"/>
      <c r="F230" s="165"/>
      <c r="G230" s="165"/>
      <c r="H230" s="165"/>
      <c r="I230" s="165"/>
    </row>
    <row r="231" spans="1:9" ht="28.5" customHeight="1">
      <c r="A231" s="133" t="s">
        <v>2</v>
      </c>
      <c r="B231" s="15" t="s">
        <v>7</v>
      </c>
      <c r="C231" s="56">
        <v>13.072</v>
      </c>
      <c r="D231" s="56">
        <v>13.243</v>
      </c>
      <c r="E231" s="56">
        <v>49.74</v>
      </c>
      <c r="F231" s="115">
        <v>5.746</v>
      </c>
      <c r="G231" s="115">
        <v>7.49</v>
      </c>
      <c r="H231" s="115">
        <v>7.53</v>
      </c>
      <c r="I231" s="115">
        <v>7.53</v>
      </c>
    </row>
    <row r="232" spans="1:9" ht="39" customHeight="1">
      <c r="A232" s="133" t="s">
        <v>13</v>
      </c>
      <c r="B232" s="15" t="s">
        <v>5</v>
      </c>
      <c r="C232" s="56">
        <f>C231/1.078/31.9*100</f>
        <v>38.01303935652346</v>
      </c>
      <c r="D232" s="56">
        <f>D231/1.083/C231*100</f>
        <v>93.54398849019736</v>
      </c>
      <c r="E232" s="56">
        <f>E231/1.087/D231*100</f>
        <v>345.53326014660087</v>
      </c>
      <c r="F232" s="115">
        <f>F231/1.082/E231*100</f>
        <v>10.676590358589248</v>
      </c>
      <c r="G232" s="115">
        <f>G231/1.075/F231*100</f>
        <v>121.25725479403266</v>
      </c>
      <c r="H232" s="115">
        <f>H231/1.073/G231*100</f>
        <v>93.69435731021294</v>
      </c>
      <c r="I232" s="115">
        <f>I231/1.072/H231*100</f>
        <v>93.28358208955223</v>
      </c>
    </row>
    <row r="233" spans="1:9" ht="20.25" customHeight="1">
      <c r="A233" s="168" t="s">
        <v>112</v>
      </c>
      <c r="B233" s="168"/>
      <c r="C233" s="168"/>
      <c r="D233" s="168"/>
      <c r="E233" s="168"/>
      <c r="F233" s="168"/>
      <c r="G233" s="168"/>
      <c r="H233" s="168"/>
      <c r="I233" s="168"/>
    </row>
    <row r="234" spans="1:9" ht="15">
      <c r="A234" s="169" t="s">
        <v>58</v>
      </c>
      <c r="B234" s="169"/>
      <c r="C234" s="169"/>
      <c r="D234" s="169"/>
      <c r="E234" s="169"/>
      <c r="F234" s="169"/>
      <c r="G234" s="169"/>
      <c r="H234" s="169"/>
      <c r="I234" s="169"/>
    </row>
    <row r="235" spans="1:9" ht="30" customHeight="1">
      <c r="A235" s="23" t="s">
        <v>2</v>
      </c>
      <c r="B235" s="14" t="s">
        <v>7</v>
      </c>
      <c r="C235" s="56">
        <v>25.5</v>
      </c>
      <c r="D235" s="56">
        <v>37.568</v>
      </c>
      <c r="E235" s="56">
        <v>126.249</v>
      </c>
      <c r="F235" s="115">
        <f>F239+F242</f>
        <v>205.26600000000002</v>
      </c>
      <c r="G235" s="115">
        <f>G239+G242</f>
        <v>146.269</v>
      </c>
      <c r="H235" s="115">
        <f>H239+H242</f>
        <v>250.42399999999998</v>
      </c>
      <c r="I235" s="115">
        <f>I239+I242</f>
        <v>110.364</v>
      </c>
    </row>
    <row r="236" spans="1:9" ht="38.25" customHeight="1">
      <c r="A236" s="23" t="s">
        <v>13</v>
      </c>
      <c r="B236" s="14" t="s">
        <v>5</v>
      </c>
      <c r="C236" s="56">
        <f>C235/1.078/51.8*100</f>
        <v>45.66586199239261</v>
      </c>
      <c r="D236" s="56">
        <f>D235/1.083/C235*100</f>
        <v>136.034616986222</v>
      </c>
      <c r="E236" s="56">
        <f>E235/1.087/D235*100</f>
        <v>309.15788496228464</v>
      </c>
      <c r="F236" s="115">
        <f>F235/1.082/E235*100</f>
        <v>150.26637571214673</v>
      </c>
      <c r="G236" s="115">
        <f>G235/1.075/F235*100</f>
        <v>66.28676256492145</v>
      </c>
      <c r="H236" s="115">
        <f>H235/1.073/G235*100</f>
        <v>159.55996559518505</v>
      </c>
      <c r="I236" s="115">
        <f>I235/1.072/H235*100</f>
        <v>41.11087297436086</v>
      </c>
    </row>
    <row r="237" spans="1:9" ht="18.75" customHeight="1">
      <c r="A237" s="23" t="s">
        <v>39</v>
      </c>
      <c r="B237" s="14"/>
      <c r="C237" s="56"/>
      <c r="D237" s="56"/>
      <c r="E237" s="56"/>
      <c r="F237" s="115"/>
      <c r="G237" s="115"/>
      <c r="H237" s="115"/>
      <c r="I237" s="119"/>
    </row>
    <row r="238" spans="1:9" ht="20.25" customHeight="1">
      <c r="A238" s="170" t="s">
        <v>40</v>
      </c>
      <c r="B238" s="170"/>
      <c r="C238" s="170"/>
      <c r="D238" s="170"/>
      <c r="E238" s="170"/>
      <c r="F238" s="170"/>
      <c r="G238" s="170"/>
      <c r="H238" s="170"/>
      <c r="I238" s="170"/>
    </row>
    <row r="239" spans="1:9" ht="29.25" customHeight="1">
      <c r="A239" s="23" t="s">
        <v>2</v>
      </c>
      <c r="B239" s="14" t="s">
        <v>7</v>
      </c>
      <c r="C239" s="56">
        <v>0.6</v>
      </c>
      <c r="D239" s="56">
        <v>8.267</v>
      </c>
      <c r="E239" s="56">
        <v>65.621</v>
      </c>
      <c r="F239" s="115">
        <v>188.074</v>
      </c>
      <c r="G239" s="115">
        <v>123.941</v>
      </c>
      <c r="H239" s="115">
        <v>169.212</v>
      </c>
      <c r="I239" s="115">
        <v>92.242</v>
      </c>
    </row>
    <row r="240" spans="1:9" ht="39.75" customHeight="1">
      <c r="A240" s="23" t="s">
        <v>13</v>
      </c>
      <c r="B240" s="14" t="s">
        <v>5</v>
      </c>
      <c r="C240" s="56">
        <f>C239/1.078/7.8*100</f>
        <v>7.135721421435706</v>
      </c>
      <c r="D240" s="56">
        <f>D239/1.083/C239*100</f>
        <v>1272.2376115727916</v>
      </c>
      <c r="E240" s="56">
        <f>E239/1.087/D239*100</f>
        <v>730.2395699019021</v>
      </c>
      <c r="F240" s="115">
        <f>F239/1.082/E239*100</f>
        <v>264.88578717629645</v>
      </c>
      <c r="G240" s="115">
        <f>G239/1.075/F239*100</f>
        <v>61.30244132010384</v>
      </c>
      <c r="H240" s="115">
        <f>H239/1.073/G239*100</f>
        <v>127.23788480273282</v>
      </c>
      <c r="I240" s="115">
        <f>I239/1.072/H239*100</f>
        <v>50.85138275715953</v>
      </c>
    </row>
    <row r="241" spans="1:9" ht="21" customHeight="1">
      <c r="A241" s="170" t="s">
        <v>41</v>
      </c>
      <c r="B241" s="170"/>
      <c r="C241" s="170"/>
      <c r="D241" s="170"/>
      <c r="E241" s="170"/>
      <c r="F241" s="170"/>
      <c r="G241" s="170"/>
      <c r="H241" s="170"/>
      <c r="I241" s="170"/>
    </row>
    <row r="242" spans="1:9" ht="27" customHeight="1">
      <c r="A242" s="23" t="s">
        <v>2</v>
      </c>
      <c r="B242" s="14" t="s">
        <v>7</v>
      </c>
      <c r="C242" s="56">
        <v>24.9</v>
      </c>
      <c r="D242" s="56">
        <v>28.6</v>
      </c>
      <c r="E242" s="56">
        <v>60.478</v>
      </c>
      <c r="F242" s="115">
        <v>17.192</v>
      </c>
      <c r="G242" s="115">
        <v>22.328</v>
      </c>
      <c r="H242" s="115">
        <v>81.212</v>
      </c>
      <c r="I242" s="115">
        <v>18.122</v>
      </c>
    </row>
    <row r="243" spans="1:9" ht="39.75" customHeight="1">
      <c r="A243" s="23" t="s">
        <v>13</v>
      </c>
      <c r="B243" s="14" t="s">
        <v>5</v>
      </c>
      <c r="C243" s="56">
        <f>C242/1.078/44*100</f>
        <v>52.496205093607685</v>
      </c>
      <c r="D243" s="56">
        <f>D242/1.083/C242*100</f>
        <v>106.05672922530383</v>
      </c>
      <c r="E243" s="56">
        <f>E242/1.087/D242*100</f>
        <v>194.53683391125892</v>
      </c>
      <c r="F243" s="115">
        <f>F242/1.082/E242*100</f>
        <v>26.272519378733772</v>
      </c>
      <c r="G243" s="115">
        <f>G242/1.075/F242*100</f>
        <v>120.81335829536724</v>
      </c>
      <c r="H243" s="115">
        <f>H242/1.073/G242*100</f>
        <v>338.97733461602553</v>
      </c>
      <c r="I243" s="115">
        <f>I242/1.072/H242*100</f>
        <v>20.81570549459274</v>
      </c>
    </row>
    <row r="244" spans="1:9" ht="15">
      <c r="A244" s="169" t="s">
        <v>59</v>
      </c>
      <c r="B244" s="169"/>
      <c r="C244" s="169"/>
      <c r="D244" s="169"/>
      <c r="E244" s="169"/>
      <c r="F244" s="169"/>
      <c r="G244" s="169"/>
      <c r="H244" s="169"/>
      <c r="I244" s="169"/>
    </row>
    <row r="245" spans="1:9" ht="27" customHeight="1">
      <c r="A245" s="23" t="s">
        <v>2</v>
      </c>
      <c r="B245" s="14" t="s">
        <v>7</v>
      </c>
      <c r="C245" s="56">
        <v>162.7</v>
      </c>
      <c r="D245" s="56">
        <v>1363.876</v>
      </c>
      <c r="E245" s="56">
        <v>1465.357</v>
      </c>
      <c r="F245" s="115">
        <f>F199-F235</f>
        <v>194.57799999999986</v>
      </c>
      <c r="G245" s="115">
        <f>G199-G235</f>
        <v>38.744</v>
      </c>
      <c r="H245" s="115">
        <f>H199-H235</f>
        <v>36.66300000000001</v>
      </c>
      <c r="I245" s="115">
        <f>I199-I235</f>
        <v>35.81299999999999</v>
      </c>
    </row>
    <row r="246" spans="1:9" ht="38.25" customHeight="1">
      <c r="A246" s="23" t="s">
        <v>13</v>
      </c>
      <c r="B246" s="14" t="s">
        <v>5</v>
      </c>
      <c r="C246" s="56">
        <f>C245/1.078/984.8*100</f>
        <v>15.325715250282965</v>
      </c>
      <c r="D246" s="56">
        <f>D245/1.083/C245*100</f>
        <v>774.0319322876143</v>
      </c>
      <c r="E246" s="56">
        <f>E245/1.087/D245*100</f>
        <v>98.84142818110439</v>
      </c>
      <c r="F246" s="115">
        <f>F245/1.082/E245*100</f>
        <v>12.272217144079585</v>
      </c>
      <c r="G246" s="115">
        <f>G245/1.075/F245*100</f>
        <v>18.522613159020118</v>
      </c>
      <c r="H246" s="115">
        <f>H245/1.073/G245*100</f>
        <v>88.1909093725651</v>
      </c>
      <c r="I246" s="115">
        <f>I245/1.072/H245*100</f>
        <v>91.12088278027252</v>
      </c>
    </row>
    <row r="247" spans="1:9" ht="19.5" customHeight="1">
      <c r="A247" s="173" t="s">
        <v>89</v>
      </c>
      <c r="B247" s="173"/>
      <c r="C247" s="173"/>
      <c r="D247" s="173"/>
      <c r="E247" s="173"/>
      <c r="F247" s="173"/>
      <c r="G247" s="173"/>
      <c r="H247" s="173"/>
      <c r="I247" s="173"/>
    </row>
    <row r="248" spans="1:9" ht="40.5" customHeight="1">
      <c r="A248" s="23" t="s">
        <v>2</v>
      </c>
      <c r="B248" s="14" t="s">
        <v>88</v>
      </c>
      <c r="C248" s="56">
        <v>0</v>
      </c>
      <c r="D248" s="60">
        <v>0.01</v>
      </c>
      <c r="E248" s="56">
        <v>0</v>
      </c>
      <c r="F248" s="115">
        <v>0</v>
      </c>
      <c r="G248" s="115">
        <v>0</v>
      </c>
      <c r="H248" s="115">
        <v>0</v>
      </c>
      <c r="I248" s="115">
        <v>0</v>
      </c>
    </row>
    <row r="249" spans="1:9" ht="39.75" customHeight="1">
      <c r="A249" s="23" t="s">
        <v>13</v>
      </c>
      <c r="B249" s="14" t="s">
        <v>5</v>
      </c>
      <c r="C249" s="56"/>
      <c r="D249" s="56"/>
      <c r="E249" s="58"/>
      <c r="F249" s="106"/>
      <c r="G249" s="106"/>
      <c r="H249" s="106"/>
      <c r="I249" s="53"/>
    </row>
    <row r="250" spans="1:9" s="6" customFormat="1" ht="31.5" customHeight="1">
      <c r="A250" s="168" t="s">
        <v>214</v>
      </c>
      <c r="B250" s="168"/>
      <c r="C250" s="168"/>
      <c r="D250" s="168"/>
      <c r="E250" s="168"/>
      <c r="F250" s="168"/>
      <c r="G250" s="168"/>
      <c r="H250" s="168"/>
      <c r="I250" s="168"/>
    </row>
    <row r="251" spans="1:9" s="6" customFormat="1" ht="28.5" customHeight="1">
      <c r="A251" s="23" t="s">
        <v>2</v>
      </c>
      <c r="B251" s="14" t="s">
        <v>7</v>
      </c>
      <c r="C251" s="61">
        <v>1642.723</v>
      </c>
      <c r="D251" s="61">
        <v>1727.1</v>
      </c>
      <c r="E251" s="61">
        <v>2301.145</v>
      </c>
      <c r="F251" s="113">
        <v>906.6</v>
      </c>
      <c r="G251" s="113">
        <f>F251*1.05</f>
        <v>951.9300000000001</v>
      </c>
      <c r="H251" s="113">
        <f>G251*107/100</f>
        <v>1018.5651000000001</v>
      </c>
      <c r="I251" s="113">
        <f>H251*1.06</f>
        <v>1079.6790060000003</v>
      </c>
    </row>
    <row r="252" spans="1:9" s="6" customFormat="1" ht="40.5" customHeight="1">
      <c r="A252" s="23" t="s">
        <v>13</v>
      </c>
      <c r="B252" s="14" t="s">
        <v>5</v>
      </c>
      <c r="C252" s="56">
        <v>156.6</v>
      </c>
      <c r="D252" s="56">
        <v>80.3</v>
      </c>
      <c r="E252" s="56">
        <v>110.6</v>
      </c>
      <c r="F252" s="134">
        <f>F251/1.085/E251*100</f>
        <v>36.311316186783515</v>
      </c>
      <c r="G252" s="134">
        <f>G251/1.079/F251*100</f>
        <v>97.31232622798889</v>
      </c>
      <c r="H252" s="134">
        <f>H251/1.075/G251*100</f>
        <v>99.53488372093024</v>
      </c>
      <c r="I252" s="134">
        <f>I251/1.071/H251*100</f>
        <v>98.97292250233428</v>
      </c>
    </row>
    <row r="253" spans="1:9" s="29" customFormat="1" ht="21" customHeight="1">
      <c r="A253" s="166" t="s">
        <v>60</v>
      </c>
      <c r="B253" s="166"/>
      <c r="C253" s="166"/>
      <c r="D253" s="166"/>
      <c r="E253" s="166"/>
      <c r="F253" s="166"/>
      <c r="G253" s="166"/>
      <c r="H253" s="166"/>
      <c r="I253" s="166"/>
    </row>
    <row r="254" spans="1:9" s="10" customFormat="1" ht="17.25" customHeight="1">
      <c r="A254" s="168" t="s">
        <v>61</v>
      </c>
      <c r="B254" s="168"/>
      <c r="C254" s="168"/>
      <c r="D254" s="168"/>
      <c r="E254" s="168"/>
      <c r="F254" s="168"/>
      <c r="G254" s="168"/>
      <c r="H254" s="168"/>
      <c r="I254" s="168"/>
    </row>
    <row r="255" spans="1:9" s="10" customFormat="1" ht="29.25" customHeight="1">
      <c r="A255" s="23" t="s">
        <v>2</v>
      </c>
      <c r="B255" s="14" t="s">
        <v>7</v>
      </c>
      <c r="C255" s="62">
        <v>2070</v>
      </c>
      <c r="D255" s="62">
        <v>2308.6</v>
      </c>
      <c r="E255" s="62">
        <v>2876.5</v>
      </c>
      <c r="F255" s="62">
        <v>3020.3</v>
      </c>
      <c r="G255" s="63">
        <f>F255*1.05</f>
        <v>3171.3150000000005</v>
      </c>
      <c r="H255" s="62">
        <v>3330</v>
      </c>
      <c r="I255" s="62">
        <v>3496.5</v>
      </c>
    </row>
    <row r="256" spans="1:9" s="10" customFormat="1" ht="38.25" customHeight="1">
      <c r="A256" s="23" t="s">
        <v>13</v>
      </c>
      <c r="B256" s="14" t="s">
        <v>5</v>
      </c>
      <c r="C256" s="64">
        <f>C255/1.104*100/2018.6</f>
        <v>92.88615872386802</v>
      </c>
      <c r="D256" s="65">
        <f>D255/1.062/C255*100</f>
        <v>105.0156026820237</v>
      </c>
      <c r="E256" s="65">
        <f>E255/1.08*100/D255</f>
        <v>115.36974469054518</v>
      </c>
      <c r="F256" s="65">
        <f>F255/1.047*100/E255</f>
        <v>100.28570285409</v>
      </c>
      <c r="G256" s="65">
        <f>G255/1.057*100/F255</f>
        <v>99.33774834437088</v>
      </c>
      <c r="H256" s="64">
        <f>H255/1.048*100/G255</f>
        <v>100.19442773835252</v>
      </c>
      <c r="I256" s="64">
        <f>I255/1.044*100/H255</f>
        <v>100.57471264367817</v>
      </c>
    </row>
    <row r="257" spans="1:9" s="10" customFormat="1" ht="21.75" customHeight="1">
      <c r="A257" s="23" t="s">
        <v>62</v>
      </c>
      <c r="B257" s="13" t="s">
        <v>6</v>
      </c>
      <c r="C257" s="64">
        <v>55.6</v>
      </c>
      <c r="D257" s="64">
        <v>52</v>
      </c>
      <c r="E257" s="64">
        <v>49.5</v>
      </c>
      <c r="F257" s="64">
        <v>45</v>
      </c>
      <c r="G257" s="64">
        <v>39.5</v>
      </c>
      <c r="H257" s="64">
        <v>39.5</v>
      </c>
      <c r="I257" s="64">
        <v>39.5</v>
      </c>
    </row>
    <row r="258" spans="1:9" s="10" customFormat="1" ht="21.75" customHeight="1">
      <c r="A258" s="23" t="s">
        <v>81</v>
      </c>
      <c r="B258" s="13" t="s">
        <v>6</v>
      </c>
      <c r="C258" s="64">
        <v>44.4</v>
      </c>
      <c r="D258" s="64">
        <v>48</v>
      </c>
      <c r="E258" s="64">
        <v>50.5</v>
      </c>
      <c r="F258" s="64">
        <v>55</v>
      </c>
      <c r="G258" s="64">
        <v>60.5</v>
      </c>
      <c r="H258" s="64">
        <v>60.5</v>
      </c>
      <c r="I258" s="64">
        <v>60.5</v>
      </c>
    </row>
    <row r="259" spans="1:9" s="11" customFormat="1" ht="19.5" customHeight="1">
      <c r="A259" s="168" t="s">
        <v>78</v>
      </c>
      <c r="B259" s="168"/>
      <c r="C259" s="168"/>
      <c r="D259" s="168"/>
      <c r="E259" s="168"/>
      <c r="F259" s="168"/>
      <c r="G259" s="168"/>
      <c r="H259" s="168"/>
      <c r="I259" s="168"/>
    </row>
    <row r="260" spans="1:9" s="10" customFormat="1" ht="28.5" customHeight="1">
      <c r="A260" s="23" t="s">
        <v>2</v>
      </c>
      <c r="B260" s="14" t="s">
        <v>7</v>
      </c>
      <c r="C260" s="91">
        <v>58.1</v>
      </c>
      <c r="D260" s="92">
        <v>72.8</v>
      </c>
      <c r="E260" s="63">
        <v>82.4</v>
      </c>
      <c r="F260" s="63">
        <v>86.5</v>
      </c>
      <c r="G260" s="63">
        <v>90.8</v>
      </c>
      <c r="H260" s="63">
        <v>95.3</v>
      </c>
      <c r="I260" s="63">
        <v>100</v>
      </c>
    </row>
    <row r="261" spans="1:9" s="10" customFormat="1" ht="39.75" customHeight="1">
      <c r="A261" s="23" t="s">
        <v>13</v>
      </c>
      <c r="B261" s="14" t="s">
        <v>5</v>
      </c>
      <c r="C261" s="64">
        <f>C260/108.4*100/57.9*100</f>
        <v>92.56957854552638</v>
      </c>
      <c r="D261" s="65">
        <f>D260/1.045/C260*100</f>
        <v>119.90545915720298</v>
      </c>
      <c r="E261" s="65">
        <f>E260/1.122/D260*100</f>
        <v>100.87951264421852</v>
      </c>
      <c r="F261" s="65">
        <f>F260/1.037/E260*100</f>
        <v>101.23021037159094</v>
      </c>
      <c r="G261" s="65">
        <f>G260/1.057/F260*100</f>
        <v>99.31040517114093</v>
      </c>
      <c r="H261" s="65">
        <f>H260/1.057/G260*100</f>
        <v>99.29607108473404</v>
      </c>
      <c r="I261" s="65">
        <f>I260/1.048/H260*100</f>
        <v>100.12575795198771</v>
      </c>
    </row>
    <row r="262" spans="1:9" s="10" customFormat="1" ht="20.25" customHeight="1">
      <c r="A262" s="168" t="s">
        <v>63</v>
      </c>
      <c r="B262" s="168"/>
      <c r="C262" s="168"/>
      <c r="D262" s="168"/>
      <c r="E262" s="168"/>
      <c r="F262" s="168"/>
      <c r="G262" s="168"/>
      <c r="H262" s="168"/>
      <c r="I262" s="168"/>
    </row>
    <row r="263" spans="1:9" s="10" customFormat="1" ht="27.75" customHeight="1">
      <c r="A263" s="23" t="s">
        <v>2</v>
      </c>
      <c r="B263" s="14" t="s">
        <v>7</v>
      </c>
      <c r="C263" s="62">
        <f>C267+C270+C273+C276+C282+C285+C288+C291+C294+C297+C300+C303+C305+C279</f>
        <v>620.8779999999999</v>
      </c>
      <c r="D263" s="62">
        <f>D267+D270+D273+D276+D282+D285+D288+D291+D294+D297+D300+D303+D305+D279</f>
        <v>659.5061000000001</v>
      </c>
      <c r="E263" s="62">
        <f>E267+E270+E273+E276+E279+E282+E291+E294+E297+E300+E303+E305</f>
        <v>752.0622000000001</v>
      </c>
      <c r="F263" s="62">
        <f>F267+F270+F273+F276+F279+F282+F291+F294+F297+F300+F303+F305</f>
        <v>812.6914830000001</v>
      </c>
      <c r="G263" s="62">
        <f>G267+G270+G273+G276+G279+G282+G291+G294+G297+G300+G303+G305</f>
        <v>869.66178681</v>
      </c>
      <c r="H263" s="62">
        <f>H267+H270+H273+H276+H279+H282+H291+H294+H297+H300+H303+H305</f>
        <v>918.3678118867001</v>
      </c>
      <c r="I263" s="62">
        <f>I267+I270+I273+I276+I279+I282+I291+I294+I297+I300+I303+I305</f>
        <v>971.2893987187691</v>
      </c>
    </row>
    <row r="264" spans="1:9" s="10" customFormat="1" ht="39" customHeight="1">
      <c r="A264" s="23" t="s">
        <v>13</v>
      </c>
      <c r="B264" s="14" t="s">
        <v>5</v>
      </c>
      <c r="C264" s="64">
        <f>C263/1.131*100/515.9</f>
        <v>106.40894531784906</v>
      </c>
      <c r="D264" s="65">
        <f>D263/1.081/C263*100</f>
        <v>98.26228327746153</v>
      </c>
      <c r="E264" s="65">
        <f>E263/1.085*100/D263</f>
        <v>105.10060252553036</v>
      </c>
      <c r="F264" s="65">
        <f>F263/1.055*100/E263</f>
        <v>102.42818753139308</v>
      </c>
      <c r="G264" s="65">
        <f>G263/1.083*100/F263</f>
        <v>98.80893594182102</v>
      </c>
      <c r="H264" s="65">
        <f>H263/1.071*100/G263</f>
        <v>98.59997284160733</v>
      </c>
      <c r="I264" s="65">
        <f>I263/1.069/H263*100</f>
        <v>98.9359867829059</v>
      </c>
    </row>
    <row r="265" spans="1:9" s="10" customFormat="1" ht="21.75" customHeight="1">
      <c r="A265" s="23" t="s">
        <v>14</v>
      </c>
      <c r="B265" s="14"/>
      <c r="C265" s="64"/>
      <c r="D265" s="64"/>
      <c r="E265" s="64"/>
      <c r="F265" s="64"/>
      <c r="G265" s="64"/>
      <c r="H265" s="64"/>
      <c r="I265" s="88"/>
    </row>
    <row r="266" spans="1:9" s="10" customFormat="1" ht="20.25" customHeight="1">
      <c r="A266" s="176" t="s">
        <v>64</v>
      </c>
      <c r="B266" s="176"/>
      <c r="C266" s="176"/>
      <c r="D266" s="176"/>
      <c r="E266" s="176"/>
      <c r="F266" s="176"/>
      <c r="G266" s="176"/>
      <c r="H266" s="176"/>
      <c r="I266" s="176"/>
    </row>
    <row r="267" spans="1:9" s="10" customFormat="1" ht="26.25" customHeight="1">
      <c r="A267" s="131" t="s">
        <v>2</v>
      </c>
      <c r="B267" s="14" t="s">
        <v>7</v>
      </c>
      <c r="C267" s="88">
        <v>49.5</v>
      </c>
      <c r="D267" s="64">
        <v>46</v>
      </c>
      <c r="E267" s="64">
        <v>48</v>
      </c>
      <c r="F267" s="64">
        <v>50.4</v>
      </c>
      <c r="G267" s="64">
        <v>53</v>
      </c>
      <c r="H267" s="64">
        <v>55.6</v>
      </c>
      <c r="I267" s="64">
        <v>58.4</v>
      </c>
    </row>
    <row r="268" spans="1:9" s="10" customFormat="1" ht="39" customHeight="1">
      <c r="A268" s="131" t="s">
        <v>13</v>
      </c>
      <c r="B268" s="14" t="s">
        <v>5</v>
      </c>
      <c r="C268" s="65">
        <f>C267/1.131/44.2*100</f>
        <v>99.01940780392955</v>
      </c>
      <c r="D268" s="65">
        <f>D267/1.081/C267*100</f>
        <v>85.96604341285192</v>
      </c>
      <c r="E268" s="65">
        <f>E267/1.085*100/D267</f>
        <v>96.17311160088158</v>
      </c>
      <c r="F268" s="65">
        <f>F267/1.055*100/E267</f>
        <v>99.52606635071089</v>
      </c>
      <c r="G268" s="65">
        <f>G267/1.083*100/F267</f>
        <v>97.09947383077578</v>
      </c>
      <c r="H268" s="65">
        <f>H267/1.071*100/G267</f>
        <v>97.95113013758963</v>
      </c>
      <c r="I268" s="65">
        <f>I267/1.069/H267*100</f>
        <v>98.25628739291075</v>
      </c>
    </row>
    <row r="269" spans="1:9" s="10" customFormat="1" ht="21.75" customHeight="1">
      <c r="A269" s="176" t="s">
        <v>65</v>
      </c>
      <c r="B269" s="176"/>
      <c r="C269" s="176"/>
      <c r="D269" s="176"/>
      <c r="E269" s="176"/>
      <c r="F269" s="176"/>
      <c r="G269" s="176"/>
      <c r="H269" s="176"/>
      <c r="I269" s="176"/>
    </row>
    <row r="270" spans="1:9" s="10" customFormat="1" ht="28.5" customHeight="1">
      <c r="A270" s="131" t="s">
        <v>2</v>
      </c>
      <c r="B270" s="14" t="s">
        <v>7</v>
      </c>
      <c r="C270" s="64">
        <f>0.333+0.606+90</f>
        <v>90.939</v>
      </c>
      <c r="D270" s="64">
        <f>0.333+0.606+99.1</f>
        <v>100.03899999999999</v>
      </c>
      <c r="E270" s="64">
        <f>0+1.5835+0.4311+106.384</f>
        <v>108.3986</v>
      </c>
      <c r="F270" s="64">
        <f>2+110.8</f>
        <v>112.8</v>
      </c>
      <c r="G270" s="64">
        <f>F270*1.05</f>
        <v>118.44</v>
      </c>
      <c r="H270" s="64">
        <f>G270*1.05</f>
        <v>124.36200000000001</v>
      </c>
      <c r="I270" s="64">
        <f>H270*1.05</f>
        <v>130.58010000000002</v>
      </c>
    </row>
    <row r="271" spans="1:9" s="10" customFormat="1" ht="40.5" customHeight="1">
      <c r="A271" s="131" t="s">
        <v>13</v>
      </c>
      <c r="B271" s="14" t="s">
        <v>5</v>
      </c>
      <c r="C271" s="64">
        <f>C270/1.131*100/21.1</f>
        <v>381.07031063396477</v>
      </c>
      <c r="D271" s="65">
        <f>D270/1.081/C270*100</f>
        <v>101.7638369964256</v>
      </c>
      <c r="E271" s="65">
        <f>E270/1.085*100/D270</f>
        <v>99.86759541658938</v>
      </c>
      <c r="F271" s="65">
        <f>F270/1.055*100/E270</f>
        <v>98.63543558645671</v>
      </c>
      <c r="G271" s="65">
        <f>G270/1.083*100/F270</f>
        <v>96.95290858725762</v>
      </c>
      <c r="H271" s="65">
        <f>H270/1.071*100/G270</f>
        <v>98.03921568627452</v>
      </c>
      <c r="I271" s="65">
        <f>I270/1.069/H270*100</f>
        <v>98.22263797942003</v>
      </c>
    </row>
    <row r="272" spans="1:9" s="10" customFormat="1" ht="18" customHeight="1">
      <c r="A272" s="176" t="s">
        <v>66</v>
      </c>
      <c r="B272" s="176"/>
      <c r="C272" s="176"/>
      <c r="D272" s="176"/>
      <c r="E272" s="176"/>
      <c r="F272" s="176"/>
      <c r="G272" s="176"/>
      <c r="H272" s="176"/>
      <c r="I272" s="176"/>
    </row>
    <row r="273" spans="1:9" s="10" customFormat="1" ht="28.5" customHeight="1">
      <c r="A273" s="131" t="s">
        <v>2</v>
      </c>
      <c r="B273" s="14" t="s">
        <v>7</v>
      </c>
      <c r="C273" s="64">
        <v>100.5</v>
      </c>
      <c r="D273" s="64">
        <f>59.281+12.609+11.442+0.5</f>
        <v>83.832</v>
      </c>
      <c r="E273" s="64">
        <f>69.142+13+14.047+0.72</f>
        <v>96.90899999999999</v>
      </c>
      <c r="F273" s="64">
        <f>69.43+15+11+2</f>
        <v>97.43</v>
      </c>
      <c r="G273" s="64">
        <f>69.43+16+11.5+2.5</f>
        <v>99.43</v>
      </c>
      <c r="H273" s="64">
        <f>71+16+11.5+2.7</f>
        <v>101.2</v>
      </c>
      <c r="I273" s="64">
        <f>73+16+11.5+2.7</f>
        <v>103.2</v>
      </c>
    </row>
    <row r="274" spans="1:9" s="10" customFormat="1" ht="42.75" customHeight="1">
      <c r="A274" s="131" t="s">
        <v>13</v>
      </c>
      <c r="B274" s="14" t="s">
        <v>5</v>
      </c>
      <c r="C274" s="64">
        <f>C273/1.131*100/97.7</f>
        <v>90.951296259594</v>
      </c>
      <c r="D274" s="65">
        <f>D273/1.081/C273*100</f>
        <v>77.16459331464785</v>
      </c>
      <c r="E274" s="65">
        <f>E273/1.085*100/D273</f>
        <v>106.54290806761648</v>
      </c>
      <c r="F274" s="65">
        <f>F273/1.055*100/E273</f>
        <v>95.29632015651174</v>
      </c>
      <c r="G274" s="65">
        <f>G273/1.083*100/F273</f>
        <v>94.23153815761279</v>
      </c>
      <c r="H274" s="65">
        <f>H273/1.071*100/G273</f>
        <v>95.03281684124251</v>
      </c>
      <c r="I274" s="65">
        <f>I273/1.069/H273*100</f>
        <v>95.39409222168405</v>
      </c>
    </row>
    <row r="275" spans="1:9" s="10" customFormat="1" ht="20.25" customHeight="1">
      <c r="A275" s="176" t="s">
        <v>67</v>
      </c>
      <c r="B275" s="176"/>
      <c r="C275" s="176"/>
      <c r="D275" s="176"/>
      <c r="E275" s="176"/>
      <c r="F275" s="176"/>
      <c r="G275" s="176"/>
      <c r="H275" s="176"/>
      <c r="I275" s="176"/>
    </row>
    <row r="276" spans="1:9" s="10" customFormat="1" ht="27.75" customHeight="1">
      <c r="A276" s="131" t="s">
        <v>2</v>
      </c>
      <c r="B276" s="14" t="s">
        <v>7</v>
      </c>
      <c r="C276" s="89">
        <v>50.8</v>
      </c>
      <c r="D276" s="64">
        <v>60.7</v>
      </c>
      <c r="E276" s="64">
        <v>69.4</v>
      </c>
      <c r="F276" s="88">
        <v>70.8</v>
      </c>
      <c r="G276" s="88">
        <v>78.2</v>
      </c>
      <c r="H276" s="88">
        <v>83.8</v>
      </c>
      <c r="I276" s="88">
        <v>89.6</v>
      </c>
    </row>
    <row r="277" spans="1:9" s="10" customFormat="1" ht="39" customHeight="1">
      <c r="A277" s="131" t="s">
        <v>13</v>
      </c>
      <c r="B277" s="14" t="s">
        <v>5</v>
      </c>
      <c r="C277" s="64">
        <f>C276/1.131*100/46.8</f>
        <v>95.9743665313957</v>
      </c>
      <c r="D277" s="65">
        <f>D276/1.081/C276*100</f>
        <v>110.53486491801847</v>
      </c>
      <c r="E277" s="65">
        <f>E276/1.085*100/D276</f>
        <v>105.37583795807744</v>
      </c>
      <c r="F277" s="65">
        <f>F276/1.055*100/E276</f>
        <v>96.69885409126296</v>
      </c>
      <c r="G277" s="65">
        <f>G276/1.083*100/F276</f>
        <v>101.98705207860569</v>
      </c>
      <c r="H277" s="65">
        <f>H276/1.071*100/G276</f>
        <v>100.05707312763128</v>
      </c>
      <c r="I277" s="65">
        <f>I276/1.069/H276*100</f>
        <v>100.01987001882071</v>
      </c>
    </row>
    <row r="278" spans="1:9" s="10" customFormat="1" ht="18.75" customHeight="1">
      <c r="A278" s="176" t="s">
        <v>68</v>
      </c>
      <c r="B278" s="176"/>
      <c r="C278" s="176"/>
      <c r="D278" s="176"/>
      <c r="E278" s="176"/>
      <c r="F278" s="176"/>
      <c r="G278" s="176"/>
      <c r="H278" s="176"/>
      <c r="I278" s="176"/>
    </row>
    <row r="279" spans="1:9" s="10" customFormat="1" ht="28.5" customHeight="1">
      <c r="A279" s="131" t="s">
        <v>2</v>
      </c>
      <c r="B279" s="14" t="s">
        <v>7</v>
      </c>
      <c r="C279" s="64">
        <v>193.7</v>
      </c>
      <c r="D279" s="90">
        <v>237</v>
      </c>
      <c r="E279" s="64">
        <v>279.7</v>
      </c>
      <c r="F279" s="88">
        <v>307.7</v>
      </c>
      <c r="G279" s="88">
        <v>338.3</v>
      </c>
      <c r="H279" s="88">
        <v>362.3</v>
      </c>
      <c r="I279" s="88">
        <v>387.3</v>
      </c>
    </row>
    <row r="280" spans="1:9" s="10" customFormat="1" ht="40.5" customHeight="1">
      <c r="A280" s="131" t="s">
        <v>13</v>
      </c>
      <c r="B280" s="14" t="s">
        <v>5</v>
      </c>
      <c r="C280" s="64">
        <f>C279/1.131*100/167.5</f>
        <v>102.24738377080116</v>
      </c>
      <c r="D280" s="65">
        <f>D279/1.081/C279*100</f>
        <v>113.18608317410073</v>
      </c>
      <c r="E280" s="65">
        <f>E279/1.085*100/D279</f>
        <v>108.77131579459059</v>
      </c>
      <c r="F280" s="65">
        <f>F279/1.055*100/E279</f>
        <v>104.27556945745866</v>
      </c>
      <c r="G280" s="65">
        <f>G279/1.083*100/F279</f>
        <v>101.51869933630239</v>
      </c>
      <c r="H280" s="65">
        <f>H279/1.071*100/G279</f>
        <v>99.99467320675438</v>
      </c>
      <c r="I280" s="65">
        <f>I279/1.069/H279*100</f>
        <v>100.00033565824</v>
      </c>
    </row>
    <row r="281" spans="1:9" s="10" customFormat="1" ht="18" customHeight="1">
      <c r="A281" s="176" t="s">
        <v>69</v>
      </c>
      <c r="B281" s="176"/>
      <c r="C281" s="176"/>
      <c r="D281" s="176"/>
      <c r="E281" s="176"/>
      <c r="F281" s="176"/>
      <c r="G281" s="176"/>
      <c r="H281" s="176"/>
      <c r="I281" s="176"/>
    </row>
    <row r="282" spans="1:9" s="10" customFormat="1" ht="27.75" customHeight="1">
      <c r="A282" s="131" t="s">
        <v>2</v>
      </c>
      <c r="B282" s="14" t="s">
        <v>7</v>
      </c>
      <c r="C282" s="64">
        <v>2.2</v>
      </c>
      <c r="D282" s="64">
        <v>2.723</v>
      </c>
      <c r="E282" s="64">
        <v>2.9871</v>
      </c>
      <c r="F282" s="105">
        <v>3.7</v>
      </c>
      <c r="G282" s="105">
        <v>4</v>
      </c>
      <c r="H282" s="105">
        <v>4.2</v>
      </c>
      <c r="I282" s="105">
        <v>4.4</v>
      </c>
    </row>
    <row r="283" spans="1:9" s="10" customFormat="1" ht="37.5" customHeight="1">
      <c r="A283" s="131" t="s">
        <v>13</v>
      </c>
      <c r="B283" s="14" t="s">
        <v>5</v>
      </c>
      <c r="C283" s="64">
        <f>C282/1.131*100/2</f>
        <v>97.25906277630416</v>
      </c>
      <c r="D283" s="65">
        <f>D282/1.081/C282*100</f>
        <v>114.49836010428054</v>
      </c>
      <c r="E283" s="65">
        <f>E282/1.085*100/D282</f>
        <v>101.10494152051733</v>
      </c>
      <c r="F283" s="65">
        <f>F282/1.055*100/E282</f>
        <v>117.40848999830395</v>
      </c>
      <c r="G283" s="65">
        <f>G282/1.083*100/F282</f>
        <v>99.82281450425495</v>
      </c>
      <c r="H283" s="65">
        <f>H282/1.071*100/G282</f>
        <v>98.03921568627452</v>
      </c>
      <c r="I283" s="65">
        <f>I282/1.069/H282*100</f>
        <v>97.99991090917192</v>
      </c>
    </row>
    <row r="284" spans="1:9" s="10" customFormat="1" ht="21.75" customHeight="1" hidden="1">
      <c r="A284" s="39" t="s">
        <v>70</v>
      </c>
      <c r="B284" s="14"/>
      <c r="C284" s="64"/>
      <c r="D284" s="64"/>
      <c r="E284" s="64"/>
      <c r="F284" s="64"/>
      <c r="G284" s="64"/>
      <c r="H284" s="64"/>
      <c r="I284" s="88"/>
    </row>
    <row r="285" spans="1:9" s="10" customFormat="1" ht="21.75" customHeight="1" hidden="1">
      <c r="A285" s="131" t="s">
        <v>2</v>
      </c>
      <c r="B285" s="14" t="s">
        <v>7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</row>
    <row r="286" spans="1:9" s="10" customFormat="1" ht="21.75" customHeight="1" hidden="1">
      <c r="A286" s="131" t="s">
        <v>13</v>
      </c>
      <c r="B286" s="14" t="s">
        <v>5</v>
      </c>
      <c r="C286" s="64"/>
      <c r="D286" s="64"/>
      <c r="E286" s="64"/>
      <c r="F286" s="64"/>
      <c r="G286" s="64"/>
      <c r="H286" s="64"/>
      <c r="I286" s="88"/>
    </row>
    <row r="287" spans="1:9" s="10" customFormat="1" ht="21.75" customHeight="1" hidden="1">
      <c r="A287" s="39" t="s">
        <v>71</v>
      </c>
      <c r="B287" s="14"/>
      <c r="C287" s="64"/>
      <c r="D287" s="64"/>
      <c r="E287" s="64"/>
      <c r="F287" s="64"/>
      <c r="G287" s="64"/>
      <c r="H287" s="64"/>
      <c r="I287" s="88"/>
    </row>
    <row r="288" spans="1:9" s="10" customFormat="1" ht="21.75" customHeight="1" hidden="1">
      <c r="A288" s="131" t="s">
        <v>2</v>
      </c>
      <c r="B288" s="14" t="s">
        <v>7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</row>
    <row r="289" spans="1:9" s="10" customFormat="1" ht="21.75" customHeight="1" hidden="1">
      <c r="A289" s="131" t="s">
        <v>13</v>
      </c>
      <c r="B289" s="14" t="s">
        <v>5</v>
      </c>
      <c r="C289" s="64"/>
      <c r="D289" s="64"/>
      <c r="E289" s="64"/>
      <c r="F289" s="64"/>
      <c r="G289" s="64"/>
      <c r="H289" s="64"/>
      <c r="I289" s="88"/>
    </row>
    <row r="290" spans="1:9" s="10" customFormat="1" ht="17.25" customHeight="1">
      <c r="A290" s="176" t="s">
        <v>72</v>
      </c>
      <c r="B290" s="176"/>
      <c r="C290" s="176"/>
      <c r="D290" s="176"/>
      <c r="E290" s="176"/>
      <c r="F290" s="176"/>
      <c r="G290" s="176"/>
      <c r="H290" s="176"/>
      <c r="I290" s="176"/>
    </row>
    <row r="291" spans="1:9" s="10" customFormat="1" ht="26.25" customHeight="1">
      <c r="A291" s="131" t="s">
        <v>2</v>
      </c>
      <c r="B291" s="14" t="s">
        <v>7</v>
      </c>
      <c r="C291" s="64">
        <f>11.5+5.02</f>
        <v>16.52</v>
      </c>
      <c r="D291" s="64">
        <f>10.0952+5+0.8</f>
        <v>15.8952</v>
      </c>
      <c r="E291" s="64">
        <f>8.0335+4.2252+1</f>
        <v>13.258700000000001</v>
      </c>
      <c r="F291" s="64">
        <f>10.5+5+1</f>
        <v>16.5</v>
      </c>
      <c r="G291" s="64">
        <f>10.9+5+1</f>
        <v>16.9</v>
      </c>
      <c r="H291" s="64">
        <f>11+5.5+1.1</f>
        <v>17.6</v>
      </c>
      <c r="I291" s="64">
        <f>11.4+6+1.2</f>
        <v>18.599999999999998</v>
      </c>
    </row>
    <row r="292" spans="1:9" s="10" customFormat="1" ht="38.25" customHeight="1">
      <c r="A292" s="131" t="s">
        <v>13</v>
      </c>
      <c r="B292" s="14" t="s">
        <v>5</v>
      </c>
      <c r="C292" s="64">
        <f>C291/1.131*100/10.4</f>
        <v>140.4475277154322</v>
      </c>
      <c r="D292" s="65">
        <f>D291/1.081/C291*100</f>
        <v>89.0082494685891</v>
      </c>
      <c r="E292" s="65">
        <f>E291/1.085*100/D291</f>
        <v>76.87855453218582</v>
      </c>
      <c r="F292" s="65">
        <f>F291/1.055*100/E291</f>
        <v>117.95885287803694</v>
      </c>
      <c r="G292" s="65">
        <f>G291/1.083*100/F291</f>
        <v>94.57455440834943</v>
      </c>
      <c r="H292" s="65">
        <f>H291/1.071*100/G291</f>
        <v>97.23810628788007</v>
      </c>
      <c r="I292" s="65">
        <f>I291/1.069/H291*100</f>
        <v>98.86044731694872</v>
      </c>
    </row>
    <row r="293" spans="1:9" s="10" customFormat="1" ht="19.5" customHeight="1">
      <c r="A293" s="176" t="s">
        <v>73</v>
      </c>
      <c r="B293" s="176"/>
      <c r="C293" s="176"/>
      <c r="D293" s="176"/>
      <c r="E293" s="176"/>
      <c r="F293" s="176"/>
      <c r="G293" s="176"/>
      <c r="H293" s="176"/>
      <c r="I293" s="176"/>
    </row>
    <row r="294" spans="1:9" s="10" customFormat="1" ht="29.25" customHeight="1">
      <c r="A294" s="131" t="s">
        <v>2</v>
      </c>
      <c r="B294" s="14" t="s">
        <v>7</v>
      </c>
      <c r="C294" s="64">
        <v>63.3</v>
      </c>
      <c r="D294" s="64">
        <f>57.648</f>
        <v>57.648</v>
      </c>
      <c r="E294" s="64">
        <f>68.945</f>
        <v>68.945</v>
      </c>
      <c r="F294" s="105">
        <v>85.1</v>
      </c>
      <c r="G294" s="105">
        <v>89.5</v>
      </c>
      <c r="H294" s="105">
        <v>93.5</v>
      </c>
      <c r="I294" s="105">
        <v>98.2</v>
      </c>
    </row>
    <row r="295" spans="1:9" s="10" customFormat="1" ht="40.5" customHeight="1">
      <c r="A295" s="131" t="s">
        <v>13</v>
      </c>
      <c r="B295" s="14" t="s">
        <v>5</v>
      </c>
      <c r="C295" s="64">
        <f>C294/1.131*100/67.1</f>
        <v>83.41008906300033</v>
      </c>
      <c r="D295" s="65">
        <f>D294/1.081/C294*100</f>
        <v>84.24707682460073</v>
      </c>
      <c r="E295" s="65">
        <f>E294/1.085*100/D294</f>
        <v>110.22720441618671</v>
      </c>
      <c r="F295" s="65">
        <f>F294/1.055*100/E294</f>
        <v>116.9968918833922</v>
      </c>
      <c r="G295" s="65">
        <f>G294/1.083*100/F294</f>
        <v>97.11023802316107</v>
      </c>
      <c r="H295" s="65">
        <f>H294/1.071*100/G294</f>
        <v>97.54367296266737</v>
      </c>
      <c r="I295" s="65">
        <f>I294/1.069/H294*100</f>
        <v>98.2476501103035</v>
      </c>
    </row>
    <row r="296" spans="1:9" s="10" customFormat="1" ht="24.75" customHeight="1">
      <c r="A296" s="176" t="s">
        <v>74</v>
      </c>
      <c r="B296" s="176"/>
      <c r="C296" s="176"/>
      <c r="D296" s="176"/>
      <c r="E296" s="176"/>
      <c r="F296" s="176"/>
      <c r="G296" s="176"/>
      <c r="H296" s="176"/>
      <c r="I296" s="176"/>
    </row>
    <row r="297" spans="1:9" s="10" customFormat="1" ht="28.5" customHeight="1">
      <c r="A297" s="131" t="s">
        <v>2</v>
      </c>
      <c r="B297" s="14" t="s">
        <v>7</v>
      </c>
      <c r="C297" s="64">
        <v>1.5</v>
      </c>
      <c r="D297" s="64">
        <v>1.718</v>
      </c>
      <c r="E297" s="64">
        <v>2.3218</v>
      </c>
      <c r="F297" s="64">
        <v>2.4</v>
      </c>
      <c r="G297" s="64">
        <f>F297*1.05</f>
        <v>2.52</v>
      </c>
      <c r="H297" s="64">
        <f>G297*1.05</f>
        <v>2.6460000000000004</v>
      </c>
      <c r="I297" s="64">
        <f>H297*1.05</f>
        <v>2.7783000000000007</v>
      </c>
    </row>
    <row r="298" spans="1:9" s="10" customFormat="1" ht="39.75" customHeight="1">
      <c r="A298" s="131" t="s">
        <v>13</v>
      </c>
      <c r="B298" s="14" t="s">
        <v>5</v>
      </c>
      <c r="C298" s="64">
        <f>C297/1.131*100/2</f>
        <v>66.3129973474801</v>
      </c>
      <c r="D298" s="65">
        <f>D297/1.081/C297*100</f>
        <v>105.95127967930928</v>
      </c>
      <c r="E298" s="65">
        <f>E297/1.085*100/D297</f>
        <v>124.55808114676266</v>
      </c>
      <c r="F298" s="65">
        <f>F297/1.055*100/E297</f>
        <v>97.97921942405365</v>
      </c>
      <c r="G298" s="65">
        <f>G297/1.083*100/F297</f>
        <v>96.95290858725761</v>
      </c>
      <c r="H298" s="65">
        <f>H297/1.071*100/G297</f>
        <v>98.03921568627453</v>
      </c>
      <c r="I298" s="65">
        <f>I297/1.069/H297*100</f>
        <v>98.22263797942003</v>
      </c>
    </row>
    <row r="299" spans="1:9" s="10" customFormat="1" ht="22.5" customHeight="1">
      <c r="A299" s="176" t="s">
        <v>75</v>
      </c>
      <c r="B299" s="176"/>
      <c r="C299" s="176"/>
      <c r="D299" s="176"/>
      <c r="E299" s="176"/>
      <c r="F299" s="176"/>
      <c r="G299" s="176"/>
      <c r="H299" s="176"/>
      <c r="I299" s="176"/>
    </row>
    <row r="300" spans="1:9" s="10" customFormat="1" ht="28.5" customHeight="1">
      <c r="A300" s="131" t="s">
        <v>2</v>
      </c>
      <c r="B300" s="14" t="s">
        <v>7</v>
      </c>
      <c r="C300" s="64">
        <v>0</v>
      </c>
      <c r="D300" s="64">
        <v>0</v>
      </c>
      <c r="E300" s="64">
        <v>0.1</v>
      </c>
      <c r="F300" s="64">
        <v>0.2</v>
      </c>
      <c r="G300" s="64">
        <f>F300*1.07</f>
        <v>0.21400000000000002</v>
      </c>
      <c r="H300" s="64">
        <f>G300*1.07</f>
        <v>0.22898000000000004</v>
      </c>
      <c r="I300" s="64">
        <f>H300*1.07</f>
        <v>0.24500860000000005</v>
      </c>
    </row>
    <row r="301" spans="1:9" s="10" customFormat="1" ht="40.5" customHeight="1">
      <c r="A301" s="131" t="s">
        <v>13</v>
      </c>
      <c r="B301" s="14" t="s">
        <v>5</v>
      </c>
      <c r="C301" s="64"/>
      <c r="D301" s="65"/>
      <c r="E301" s="65"/>
      <c r="F301" s="65">
        <f>F300/1.055*100/E300</f>
        <v>189.5734597156398</v>
      </c>
      <c r="G301" s="65">
        <f>G300/1.083*100/F300</f>
        <v>98.79963065558634</v>
      </c>
      <c r="H301" s="65">
        <f>H300/1.071*100/G300</f>
        <v>99.90662931839402</v>
      </c>
      <c r="I301" s="65">
        <f>I300/1.069/H300*100</f>
        <v>100.09354536950421</v>
      </c>
    </row>
    <row r="302" spans="1:9" s="10" customFormat="1" ht="22.5" customHeight="1">
      <c r="A302" s="176" t="s">
        <v>76</v>
      </c>
      <c r="B302" s="176"/>
      <c r="C302" s="176"/>
      <c r="D302" s="176"/>
      <c r="E302" s="176"/>
      <c r="F302" s="176"/>
      <c r="G302" s="176"/>
      <c r="H302" s="176"/>
      <c r="I302" s="176"/>
    </row>
    <row r="303" spans="1:9" s="10" customFormat="1" ht="27.75" customHeight="1">
      <c r="A303" s="131" t="s">
        <v>2</v>
      </c>
      <c r="B303" s="14" t="s">
        <v>7</v>
      </c>
      <c r="C303" s="64">
        <f>40.9+1.019</f>
        <v>41.919</v>
      </c>
      <c r="D303" s="64">
        <f>11.1+30.1+1.25</f>
        <v>42.45</v>
      </c>
      <c r="E303" s="64">
        <f>37.3051+0.1+10</f>
        <v>47.405100000000004</v>
      </c>
      <c r="F303" s="64">
        <f>38.8+11+0.2</f>
        <v>50</v>
      </c>
      <c r="G303" s="64">
        <f>41.1+11+0.3</f>
        <v>52.4</v>
      </c>
      <c r="H303" s="64">
        <f>43.2+11.5+0.3</f>
        <v>55</v>
      </c>
      <c r="I303" s="64">
        <f>45.4+13+0.4</f>
        <v>58.8</v>
      </c>
    </row>
    <row r="304" spans="1:9" s="10" customFormat="1" ht="39.75" customHeight="1">
      <c r="A304" s="131" t="s">
        <v>13</v>
      </c>
      <c r="B304" s="14" t="s">
        <v>5</v>
      </c>
      <c r="C304" s="64">
        <f>C303/1.131*100/32.8</f>
        <v>112.99896487028532</v>
      </c>
      <c r="D304" s="65">
        <f>D303/1.081/C303*100</f>
        <v>93.67874994546442</v>
      </c>
      <c r="E304" s="65">
        <f>E303/1.085*100/D303</f>
        <v>102.92423181514712</v>
      </c>
      <c r="F304" s="65">
        <f>F303/1.055*100/E303</f>
        <v>99.97524512955346</v>
      </c>
      <c r="G304" s="65">
        <f>G303/1.083*100/F303</f>
        <v>96.76823638042475</v>
      </c>
      <c r="H304" s="65">
        <f>H303/1.071*100/G303</f>
        <v>98.00357802153941</v>
      </c>
      <c r="I304" s="65">
        <f>I303/1.069/H303*100</f>
        <v>100.00850412450039</v>
      </c>
    </row>
    <row r="305" spans="1:9" s="10" customFormat="1" ht="32.25" customHeight="1">
      <c r="A305" s="39" t="s">
        <v>77</v>
      </c>
      <c r="B305" s="14" t="s">
        <v>7</v>
      </c>
      <c r="C305" s="64">
        <v>10</v>
      </c>
      <c r="D305" s="64">
        <f>11.4848+0.0161</f>
        <v>11.5009</v>
      </c>
      <c r="E305" s="64">
        <f>0.0046+12.7423+1.89</f>
        <v>14.6369</v>
      </c>
      <c r="F305" s="64">
        <f>E305*1.07</f>
        <v>15.661483000000002</v>
      </c>
      <c r="G305" s="64">
        <f>F305*1.07</f>
        <v>16.757786810000002</v>
      </c>
      <c r="H305" s="64">
        <f>G305*1.07</f>
        <v>17.930831886700005</v>
      </c>
      <c r="I305" s="64">
        <f>H305*1.07</f>
        <v>19.185990118769006</v>
      </c>
    </row>
    <row r="306" spans="1:9" s="29" customFormat="1" ht="21" customHeight="1">
      <c r="A306" s="166" t="s">
        <v>115</v>
      </c>
      <c r="B306" s="166"/>
      <c r="C306" s="166"/>
      <c r="D306" s="166"/>
      <c r="E306" s="166"/>
      <c r="F306" s="166"/>
      <c r="G306" s="166"/>
      <c r="H306" s="166"/>
      <c r="I306" s="166"/>
    </row>
    <row r="307" spans="1:9" s="7" customFormat="1" ht="69" customHeight="1">
      <c r="A307" s="23" t="s">
        <v>167</v>
      </c>
      <c r="B307" s="13" t="s">
        <v>44</v>
      </c>
      <c r="C307" s="66">
        <f>C309+C310+C311+C312+C313+C314</f>
        <v>14.495000000000001</v>
      </c>
      <c r="D307" s="66">
        <f aca="true" t="shared" si="36" ref="D307:I307">D309+D310+D311+D312+D313+D314</f>
        <v>14.157</v>
      </c>
      <c r="E307" s="66">
        <f t="shared" si="36"/>
        <v>14.373000000000001</v>
      </c>
      <c r="F307" s="66">
        <f t="shared" si="36"/>
        <v>14.252</v>
      </c>
      <c r="G307" s="66">
        <f t="shared" si="36"/>
        <v>14.207</v>
      </c>
      <c r="H307" s="66">
        <f t="shared" si="36"/>
        <v>14.189</v>
      </c>
      <c r="I307" s="66">
        <f t="shared" si="36"/>
        <v>14.199000000000002</v>
      </c>
    </row>
    <row r="308" spans="1:9" s="7" customFormat="1" ht="66" customHeight="1">
      <c r="A308" s="133" t="s">
        <v>168</v>
      </c>
      <c r="B308" s="13" t="s">
        <v>44</v>
      </c>
      <c r="C308" s="66"/>
      <c r="D308" s="66"/>
      <c r="E308" s="66"/>
      <c r="F308" s="66"/>
      <c r="G308" s="66"/>
      <c r="H308" s="66"/>
      <c r="I308" s="66"/>
    </row>
    <row r="309" spans="1:9" s="7" customFormat="1" ht="33.75" customHeight="1">
      <c r="A309" s="135" t="s">
        <v>169</v>
      </c>
      <c r="B309" s="13" t="s">
        <v>44</v>
      </c>
      <c r="C309" s="66">
        <v>2.451</v>
      </c>
      <c r="D309" s="66">
        <v>2.081</v>
      </c>
      <c r="E309" s="66">
        <v>1.873</v>
      </c>
      <c r="F309" s="66">
        <v>1.873</v>
      </c>
      <c r="G309" s="66">
        <v>1.873</v>
      </c>
      <c r="H309" s="66">
        <v>1.873</v>
      </c>
      <c r="I309" s="66">
        <v>1.873</v>
      </c>
    </row>
    <row r="310" spans="1:9" s="7" customFormat="1" ht="30.75" customHeight="1">
      <c r="A310" s="135" t="s">
        <v>170</v>
      </c>
      <c r="B310" s="13" t="s">
        <v>44</v>
      </c>
      <c r="C310" s="66">
        <v>3.366</v>
      </c>
      <c r="D310" s="66">
        <v>3.169</v>
      </c>
      <c r="E310" s="66">
        <v>3.106</v>
      </c>
      <c r="F310" s="66">
        <v>3.123</v>
      </c>
      <c r="G310" s="66">
        <v>3.142</v>
      </c>
      <c r="H310" s="66">
        <v>3.142</v>
      </c>
      <c r="I310" s="66">
        <v>3.156</v>
      </c>
    </row>
    <row r="311" spans="1:9" s="7" customFormat="1" ht="63" customHeight="1">
      <c r="A311" s="135" t="s">
        <v>171</v>
      </c>
      <c r="B311" s="13" t="s">
        <v>44</v>
      </c>
      <c r="C311" s="66">
        <v>0.071</v>
      </c>
      <c r="D311" s="66">
        <v>0.072</v>
      </c>
      <c r="E311" s="66">
        <v>0.057</v>
      </c>
      <c r="F311" s="66">
        <v>0.057</v>
      </c>
      <c r="G311" s="66">
        <v>0.057</v>
      </c>
      <c r="H311" s="66">
        <v>0.056</v>
      </c>
      <c r="I311" s="66">
        <v>0.057</v>
      </c>
    </row>
    <row r="312" spans="1:9" s="7" customFormat="1" ht="32.25" customHeight="1">
      <c r="A312" s="135" t="s">
        <v>172</v>
      </c>
      <c r="B312" s="13" t="s">
        <v>44</v>
      </c>
      <c r="C312" s="66">
        <v>0.328</v>
      </c>
      <c r="D312" s="66">
        <v>0.085</v>
      </c>
      <c r="E312" s="67">
        <v>0.166</v>
      </c>
      <c r="F312" s="67">
        <v>0.166</v>
      </c>
      <c r="G312" s="67">
        <v>0.166</v>
      </c>
      <c r="H312" s="67">
        <v>0.166</v>
      </c>
      <c r="I312" s="66">
        <v>0.166</v>
      </c>
    </row>
    <row r="313" spans="1:9" s="7" customFormat="1" ht="55.5" customHeight="1">
      <c r="A313" s="135" t="s">
        <v>173</v>
      </c>
      <c r="B313" s="13" t="s">
        <v>44</v>
      </c>
      <c r="C313" s="66">
        <v>0.431</v>
      </c>
      <c r="D313" s="66">
        <v>0.382</v>
      </c>
      <c r="E313" s="67">
        <v>0.168</v>
      </c>
      <c r="F313" s="67">
        <v>0.128</v>
      </c>
      <c r="G313" s="67">
        <v>0.098</v>
      </c>
      <c r="H313" s="67">
        <v>0.098</v>
      </c>
      <c r="I313" s="66">
        <v>0.098</v>
      </c>
    </row>
    <row r="314" spans="1:9" s="7" customFormat="1" ht="31.5" customHeight="1">
      <c r="A314" s="135" t="s">
        <v>174</v>
      </c>
      <c r="B314" s="13" t="s">
        <v>44</v>
      </c>
      <c r="C314" s="67">
        <v>7.848</v>
      </c>
      <c r="D314" s="67">
        <v>8.368</v>
      </c>
      <c r="E314" s="66">
        <v>9.003</v>
      </c>
      <c r="F314" s="66">
        <v>8.905</v>
      </c>
      <c r="G314" s="66">
        <v>8.871</v>
      </c>
      <c r="H314" s="66">
        <v>8.854</v>
      </c>
      <c r="I314" s="66">
        <v>8.849</v>
      </c>
    </row>
    <row r="315" spans="1:9" s="7" customFormat="1" ht="16.5" customHeight="1">
      <c r="A315" s="135" t="s">
        <v>175</v>
      </c>
      <c r="B315" s="13" t="s">
        <v>44</v>
      </c>
      <c r="C315" s="67"/>
      <c r="D315" s="67"/>
      <c r="E315" s="66"/>
      <c r="F315" s="66"/>
      <c r="G315" s="66"/>
      <c r="H315" s="66"/>
      <c r="I315" s="66"/>
    </row>
    <row r="316" spans="1:9" s="7" customFormat="1" ht="80.25" customHeight="1">
      <c r="A316" s="136" t="s">
        <v>176</v>
      </c>
      <c r="B316" s="13" t="s">
        <v>44</v>
      </c>
      <c r="C316" s="66">
        <v>0.033</v>
      </c>
      <c r="D316" s="66">
        <v>0.031</v>
      </c>
      <c r="E316" s="66">
        <v>0.031</v>
      </c>
      <c r="F316" s="66">
        <v>0.031</v>
      </c>
      <c r="G316" s="66">
        <v>0.031</v>
      </c>
      <c r="H316" s="66">
        <v>0.031</v>
      </c>
      <c r="I316" s="66">
        <v>0.031</v>
      </c>
    </row>
    <row r="317" spans="1:9" s="7" customFormat="1" ht="33" customHeight="1">
      <c r="A317" s="137" t="s">
        <v>177</v>
      </c>
      <c r="B317" s="13" t="s">
        <v>44</v>
      </c>
      <c r="C317" s="66">
        <v>2.835</v>
      </c>
      <c r="D317" s="66">
        <v>3.274</v>
      </c>
      <c r="E317" s="66">
        <v>3.618</v>
      </c>
      <c r="F317" s="66">
        <v>3.566</v>
      </c>
      <c r="G317" s="66">
        <v>3.517</v>
      </c>
      <c r="H317" s="66">
        <v>3.531</v>
      </c>
      <c r="I317" s="66">
        <v>3.54</v>
      </c>
    </row>
    <row r="318" spans="1:9" s="7" customFormat="1" ht="94.5" customHeight="1">
      <c r="A318" s="137" t="s">
        <v>178</v>
      </c>
      <c r="B318" s="13" t="s">
        <v>44</v>
      </c>
      <c r="C318" s="66">
        <v>4.98</v>
      </c>
      <c r="D318" s="66">
        <v>5.063</v>
      </c>
      <c r="E318" s="66">
        <v>5.354</v>
      </c>
      <c r="F318" s="66">
        <v>5.308</v>
      </c>
      <c r="G318" s="66">
        <v>5.323</v>
      </c>
      <c r="H318" s="66">
        <v>5.292</v>
      </c>
      <c r="I318" s="66">
        <v>5.278</v>
      </c>
    </row>
    <row r="319" spans="1:9" s="7" customFormat="1" ht="32.25" customHeight="1">
      <c r="A319" s="23" t="s">
        <v>179</v>
      </c>
      <c r="B319" s="13" t="s">
        <v>44</v>
      </c>
      <c r="C319" s="66">
        <v>8.774</v>
      </c>
      <c r="D319" s="66">
        <v>8.397</v>
      </c>
      <c r="E319" s="66">
        <v>8.128</v>
      </c>
      <c r="F319" s="66">
        <v>8.007</v>
      </c>
      <c r="G319" s="66">
        <v>7.962</v>
      </c>
      <c r="H319" s="66">
        <v>7.98</v>
      </c>
      <c r="I319" s="66">
        <v>7.99</v>
      </c>
    </row>
    <row r="320" spans="1:9" s="7" customFormat="1" ht="64.5" customHeight="1">
      <c r="A320" s="23" t="s">
        <v>186</v>
      </c>
      <c r="B320" s="13" t="s">
        <v>45</v>
      </c>
      <c r="C320" s="68">
        <v>1755</v>
      </c>
      <c r="D320" s="68">
        <v>1227</v>
      </c>
      <c r="E320" s="68">
        <v>1029</v>
      </c>
      <c r="F320" s="68">
        <v>1140</v>
      </c>
      <c r="G320" s="68">
        <v>1140</v>
      </c>
      <c r="H320" s="68">
        <v>1100</v>
      </c>
      <c r="I320" s="68">
        <v>1050</v>
      </c>
    </row>
    <row r="321" spans="1:9" s="7" customFormat="1" ht="77.25" customHeight="1">
      <c r="A321" s="23" t="s">
        <v>187</v>
      </c>
      <c r="B321" s="13" t="s">
        <v>6</v>
      </c>
      <c r="C321" s="45">
        <v>7.5</v>
      </c>
      <c r="D321" s="45">
        <v>5.2</v>
      </c>
      <c r="E321" s="45">
        <v>4.4</v>
      </c>
      <c r="F321" s="108">
        <v>4.3</v>
      </c>
      <c r="G321" s="108">
        <v>4.3</v>
      </c>
      <c r="H321" s="108">
        <v>4.2</v>
      </c>
      <c r="I321" s="108">
        <v>4.1</v>
      </c>
    </row>
    <row r="322" spans="1:9" s="10" customFormat="1" ht="29.25" customHeight="1">
      <c r="A322" s="23" t="s">
        <v>188</v>
      </c>
      <c r="B322" s="14" t="s">
        <v>32</v>
      </c>
      <c r="C322" s="103">
        <v>1982964.4</v>
      </c>
      <c r="D322" s="103">
        <v>1992862.7</v>
      </c>
      <c r="E322" s="103">
        <v>2155651.7</v>
      </c>
      <c r="F322" s="109">
        <v>2280679.5</v>
      </c>
      <c r="G322" s="109">
        <v>2378748.7</v>
      </c>
      <c r="H322" s="109">
        <v>2476277.4</v>
      </c>
      <c r="I322" s="109">
        <v>2580281.1</v>
      </c>
    </row>
    <row r="323" spans="1:9" s="7" customFormat="1" ht="65.25" customHeight="1">
      <c r="A323" s="23" t="s">
        <v>111</v>
      </c>
      <c r="B323" s="13" t="s">
        <v>46</v>
      </c>
      <c r="C323" s="45">
        <f>C322/C319/12</f>
        <v>18833.717042777906</v>
      </c>
      <c r="D323" s="45">
        <f aca="true" t="shared" si="37" ref="D323:I323">D322/D319/12</f>
        <v>19777.526696042234</v>
      </c>
      <c r="E323" s="45">
        <f t="shared" si="37"/>
        <v>22101.087803477694</v>
      </c>
      <c r="F323" s="108">
        <f t="shared" si="37"/>
        <v>23736.308854752093</v>
      </c>
      <c r="G323" s="108">
        <f t="shared" si="37"/>
        <v>24896.89253118982</v>
      </c>
      <c r="H323" s="108">
        <f t="shared" si="37"/>
        <v>25859.20426065163</v>
      </c>
      <c r="I323" s="108">
        <f t="shared" si="37"/>
        <v>26911.5675844806</v>
      </c>
    </row>
    <row r="324" spans="1:9" s="29" customFormat="1" ht="21" customHeight="1">
      <c r="A324" s="166" t="s">
        <v>42</v>
      </c>
      <c r="B324" s="166"/>
      <c r="C324" s="166"/>
      <c r="D324" s="166"/>
      <c r="E324" s="166"/>
      <c r="F324" s="166"/>
      <c r="G324" s="166"/>
      <c r="H324" s="166"/>
      <c r="I324" s="166"/>
    </row>
    <row r="325" spans="1:9" s="6" customFormat="1" ht="33.75" customHeight="1">
      <c r="A325" s="23" t="s">
        <v>141</v>
      </c>
      <c r="B325" s="14" t="s">
        <v>7</v>
      </c>
      <c r="C325" s="57">
        <v>12.4</v>
      </c>
      <c r="D325" s="57">
        <v>1.1</v>
      </c>
      <c r="E325" s="57">
        <v>6.392</v>
      </c>
      <c r="F325" s="114">
        <f>3+5</f>
        <v>8</v>
      </c>
      <c r="G325" s="151">
        <f>4+7</f>
        <v>11</v>
      </c>
      <c r="H325" s="151">
        <f>H326+4.8</f>
        <v>14.709</v>
      </c>
      <c r="I325" s="114">
        <f>I326+3.6</f>
        <v>16.576</v>
      </c>
    </row>
    <row r="326" spans="1:9" s="6" customFormat="1" ht="30" customHeight="1">
      <c r="A326" s="23" t="s">
        <v>43</v>
      </c>
      <c r="B326" s="14" t="s">
        <v>7</v>
      </c>
      <c r="C326" s="57">
        <v>-35.095</v>
      </c>
      <c r="D326" s="57">
        <v>-2.4</v>
      </c>
      <c r="E326" s="57">
        <v>-6.183</v>
      </c>
      <c r="F326" s="151">
        <f>F325-6-0.5</f>
        <v>1.5</v>
      </c>
      <c r="G326" s="151">
        <f>G325-5.2-0.2</f>
        <v>5.6</v>
      </c>
      <c r="H326" s="151">
        <v>9.909</v>
      </c>
      <c r="I326" s="151">
        <v>12.976</v>
      </c>
    </row>
    <row r="327" spans="1:9" s="9" customFormat="1" ht="21" customHeight="1">
      <c r="A327" s="166" t="s">
        <v>116</v>
      </c>
      <c r="B327" s="166"/>
      <c r="C327" s="166"/>
      <c r="D327" s="166"/>
      <c r="E327" s="166"/>
      <c r="F327" s="166"/>
      <c r="G327" s="166"/>
      <c r="H327" s="166"/>
      <c r="I327" s="166"/>
    </row>
    <row r="328" spans="1:9" ht="18" customHeight="1">
      <c r="A328" s="23" t="s">
        <v>209</v>
      </c>
      <c r="B328" s="13" t="s">
        <v>37</v>
      </c>
      <c r="C328" s="52">
        <v>238</v>
      </c>
      <c r="D328" s="52">
        <v>239</v>
      </c>
      <c r="E328" s="52">
        <v>243</v>
      </c>
      <c r="F328" s="52">
        <v>246</v>
      </c>
      <c r="G328" s="52">
        <v>246</v>
      </c>
      <c r="H328" s="52">
        <v>249</v>
      </c>
      <c r="I328" s="52">
        <v>252</v>
      </c>
    </row>
    <row r="329" spans="1:9" ht="28.5" customHeight="1">
      <c r="A329" s="23" t="s">
        <v>249</v>
      </c>
      <c r="B329" s="14" t="s">
        <v>7</v>
      </c>
      <c r="C329" s="57">
        <v>1710.001</v>
      </c>
      <c r="D329" s="57">
        <v>1906.3</v>
      </c>
      <c r="E329" s="57">
        <v>2067.9</v>
      </c>
      <c r="F329" s="57">
        <v>2171.3</v>
      </c>
      <c r="G329" s="57">
        <v>2171.3</v>
      </c>
      <c r="H329" s="57">
        <v>2233.3</v>
      </c>
      <c r="I329" s="57">
        <v>2412</v>
      </c>
    </row>
    <row r="330" spans="1:9" ht="33" customHeight="1">
      <c r="A330" s="23" t="s">
        <v>210</v>
      </c>
      <c r="B330" s="13" t="s">
        <v>44</v>
      </c>
      <c r="C330" s="69">
        <v>1.518</v>
      </c>
      <c r="D330" s="69">
        <v>1.431</v>
      </c>
      <c r="E330" s="69">
        <v>1.492</v>
      </c>
      <c r="F330" s="69">
        <v>1.512</v>
      </c>
      <c r="G330" s="69">
        <v>1.512</v>
      </c>
      <c r="H330" s="69">
        <v>1.532</v>
      </c>
      <c r="I330" s="69">
        <v>1.552</v>
      </c>
    </row>
    <row r="331" spans="1:9" s="29" customFormat="1" ht="21" customHeight="1">
      <c r="A331" s="166" t="s">
        <v>117</v>
      </c>
      <c r="B331" s="166"/>
      <c r="C331" s="166"/>
      <c r="D331" s="166"/>
      <c r="E331" s="166"/>
      <c r="F331" s="166"/>
      <c r="G331" s="166"/>
      <c r="H331" s="166"/>
      <c r="I331" s="166"/>
    </row>
    <row r="332" spans="1:9" s="7" customFormat="1" ht="16.5" customHeight="1">
      <c r="A332" s="138" t="s">
        <v>56</v>
      </c>
      <c r="B332" s="14"/>
      <c r="C332" s="51"/>
      <c r="D332" s="51"/>
      <c r="E332" s="51"/>
      <c r="F332" s="53"/>
      <c r="G332" s="53"/>
      <c r="H332" s="53"/>
      <c r="I332" s="53"/>
    </row>
    <row r="333" spans="1:9" s="7" customFormat="1" ht="60.75" customHeight="1">
      <c r="A333" s="27" t="s">
        <v>207</v>
      </c>
      <c r="B333" s="14" t="s">
        <v>251</v>
      </c>
      <c r="C333" s="69">
        <v>241</v>
      </c>
      <c r="D333" s="111">
        <v>249</v>
      </c>
      <c r="E333" s="111">
        <v>183</v>
      </c>
      <c r="F333" s="111">
        <v>179</v>
      </c>
      <c r="G333" s="111">
        <v>168</v>
      </c>
      <c r="H333" s="111">
        <v>161</v>
      </c>
      <c r="I333" s="111">
        <v>161</v>
      </c>
    </row>
    <row r="334" spans="1:9" s="7" customFormat="1" ht="48" customHeight="1">
      <c r="A334" s="27" t="s">
        <v>190</v>
      </c>
      <c r="B334" s="14" t="s">
        <v>51</v>
      </c>
      <c r="C334" s="69">
        <v>70.5</v>
      </c>
      <c r="D334" s="69">
        <v>72.8</v>
      </c>
      <c r="E334" s="69">
        <v>73.6</v>
      </c>
      <c r="F334" s="57">
        <v>73.3</v>
      </c>
      <c r="G334" s="57">
        <v>74</v>
      </c>
      <c r="H334" s="69">
        <v>74.6</v>
      </c>
      <c r="I334" s="69">
        <v>74.9</v>
      </c>
    </row>
    <row r="335" spans="1:9" s="7" customFormat="1" ht="64.5" customHeight="1">
      <c r="A335" s="27" t="s">
        <v>191</v>
      </c>
      <c r="B335" s="14" t="s">
        <v>51</v>
      </c>
      <c r="C335" s="69">
        <v>29.2</v>
      </c>
      <c r="D335" s="69">
        <v>30.2</v>
      </c>
      <c r="E335" s="69">
        <v>30.5</v>
      </c>
      <c r="F335" s="57">
        <v>31</v>
      </c>
      <c r="G335" s="57">
        <v>31.3</v>
      </c>
      <c r="H335" s="69">
        <v>31.6</v>
      </c>
      <c r="I335" s="69">
        <v>31.7</v>
      </c>
    </row>
    <row r="336" spans="1:9" s="7" customFormat="1" ht="37.5" customHeight="1">
      <c r="A336" s="27" t="s">
        <v>192</v>
      </c>
      <c r="B336" s="14" t="s">
        <v>51</v>
      </c>
      <c r="C336" s="69">
        <v>1.9</v>
      </c>
      <c r="D336" s="69">
        <v>1.9</v>
      </c>
      <c r="E336" s="57">
        <v>2</v>
      </c>
      <c r="F336" s="69">
        <v>1.3</v>
      </c>
      <c r="G336" s="69">
        <v>1.3</v>
      </c>
      <c r="H336" s="69">
        <v>1.3</v>
      </c>
      <c r="I336" s="69">
        <v>1.3</v>
      </c>
    </row>
    <row r="337" spans="1:9" s="7" customFormat="1" ht="56.25" customHeight="1">
      <c r="A337" s="27" t="s">
        <v>193</v>
      </c>
      <c r="B337" s="146" t="s">
        <v>52</v>
      </c>
      <c r="C337" s="69">
        <v>181.7</v>
      </c>
      <c r="D337" s="69">
        <v>179.2</v>
      </c>
      <c r="E337" s="57">
        <v>172.2</v>
      </c>
      <c r="F337" s="57">
        <v>200.9</v>
      </c>
      <c r="G337" s="57">
        <v>203</v>
      </c>
      <c r="H337" s="57">
        <v>204.5</v>
      </c>
      <c r="I337" s="69">
        <v>205.6</v>
      </c>
    </row>
    <row r="338" spans="1:9" s="7" customFormat="1" ht="40.5" customHeight="1">
      <c r="A338" s="27" t="s">
        <v>194</v>
      </c>
      <c r="B338" s="14" t="s">
        <v>53</v>
      </c>
      <c r="C338" s="69">
        <v>33.5</v>
      </c>
      <c r="D338" s="69">
        <v>34.6</v>
      </c>
      <c r="E338" s="57">
        <v>32</v>
      </c>
      <c r="F338" s="57">
        <v>32.5</v>
      </c>
      <c r="G338" s="57">
        <v>33.6</v>
      </c>
      <c r="H338" s="57">
        <v>35.9</v>
      </c>
      <c r="I338" s="69">
        <v>37.3</v>
      </c>
    </row>
    <row r="339" spans="1:9" s="7" customFormat="1" ht="39" customHeight="1">
      <c r="A339" s="27" t="s">
        <v>195</v>
      </c>
      <c r="B339" s="14" t="s">
        <v>53</v>
      </c>
      <c r="C339" s="69">
        <v>210.3</v>
      </c>
      <c r="D339" s="69">
        <v>131.5</v>
      </c>
      <c r="E339" s="57">
        <v>132</v>
      </c>
      <c r="F339" s="57">
        <v>133.3</v>
      </c>
      <c r="G339" s="57">
        <v>136.4</v>
      </c>
      <c r="H339" s="57">
        <v>138.7</v>
      </c>
      <c r="I339" s="69">
        <v>141.9</v>
      </c>
    </row>
    <row r="340" spans="1:9" s="7" customFormat="1" ht="48.75" customHeight="1">
      <c r="A340" s="27" t="s">
        <v>196</v>
      </c>
      <c r="B340" s="14" t="s">
        <v>54</v>
      </c>
      <c r="C340" s="70">
        <v>18.9</v>
      </c>
      <c r="D340" s="70">
        <v>19.5</v>
      </c>
      <c r="E340" s="70">
        <v>19.7</v>
      </c>
      <c r="F340" s="70">
        <v>20</v>
      </c>
      <c r="G340" s="70">
        <v>20.2</v>
      </c>
      <c r="H340" s="70">
        <v>20.4</v>
      </c>
      <c r="I340" s="112">
        <v>20.5</v>
      </c>
    </row>
    <row r="341" spans="1:9" s="7" customFormat="1" ht="33.75" customHeight="1">
      <c r="A341" s="27" t="s">
        <v>197</v>
      </c>
      <c r="B341" s="14" t="s">
        <v>37</v>
      </c>
      <c r="C341" s="70">
        <v>8</v>
      </c>
      <c r="D341" s="70">
        <v>8</v>
      </c>
      <c r="E341" s="70">
        <v>8</v>
      </c>
      <c r="F341" s="70">
        <v>8</v>
      </c>
      <c r="G341" s="70">
        <v>8</v>
      </c>
      <c r="H341" s="70">
        <v>8</v>
      </c>
      <c r="I341" s="112">
        <v>8</v>
      </c>
    </row>
    <row r="342" spans="1:9" s="7" customFormat="1" ht="31.5" customHeight="1">
      <c r="A342" s="27" t="s">
        <v>198</v>
      </c>
      <c r="B342" s="14" t="s">
        <v>37</v>
      </c>
      <c r="C342" s="70">
        <v>10</v>
      </c>
      <c r="D342" s="70">
        <v>10</v>
      </c>
      <c r="E342" s="70">
        <v>10</v>
      </c>
      <c r="F342" s="70">
        <v>10</v>
      </c>
      <c r="G342" s="70">
        <v>10</v>
      </c>
      <c r="H342" s="70">
        <v>10</v>
      </c>
      <c r="I342" s="112">
        <v>10</v>
      </c>
    </row>
    <row r="343" spans="1:9" s="7" customFormat="1" ht="39.75" customHeight="1">
      <c r="A343" s="27" t="s">
        <v>199</v>
      </c>
      <c r="B343" s="14" t="s">
        <v>108</v>
      </c>
      <c r="C343" s="70">
        <v>1.6</v>
      </c>
      <c r="D343" s="70">
        <v>1.6</v>
      </c>
      <c r="E343" s="70">
        <v>1.7</v>
      </c>
      <c r="F343" s="70">
        <v>1.7</v>
      </c>
      <c r="G343" s="70">
        <v>1.7</v>
      </c>
      <c r="H343" s="70">
        <v>1.7</v>
      </c>
      <c r="I343" s="112">
        <v>1.7</v>
      </c>
    </row>
    <row r="344" spans="1:9" s="7" customFormat="1" ht="39" customHeight="1">
      <c r="A344" s="27" t="s">
        <v>200</v>
      </c>
      <c r="B344" s="14" t="s">
        <v>109</v>
      </c>
      <c r="C344" s="70">
        <v>14959.9</v>
      </c>
      <c r="D344" s="70">
        <v>15622.5</v>
      </c>
      <c r="E344" s="70">
        <v>15806.4</v>
      </c>
      <c r="F344" s="70">
        <v>16043.5</v>
      </c>
      <c r="G344" s="70">
        <v>16205.6</v>
      </c>
      <c r="H344" s="70">
        <v>16329.3</v>
      </c>
      <c r="I344" s="112">
        <v>16412.8</v>
      </c>
    </row>
    <row r="345" spans="1:9" s="7" customFormat="1" ht="66.75" customHeight="1">
      <c r="A345" s="27" t="s">
        <v>201</v>
      </c>
      <c r="B345" s="14" t="s">
        <v>110</v>
      </c>
      <c r="C345" s="70">
        <v>47.156</v>
      </c>
      <c r="D345" s="70">
        <v>48.687</v>
      </c>
      <c r="E345" s="70">
        <v>49.287</v>
      </c>
      <c r="F345" s="70">
        <v>50</v>
      </c>
      <c r="G345" s="70">
        <v>50.5</v>
      </c>
      <c r="H345" s="70">
        <v>50.9</v>
      </c>
      <c r="I345" s="112">
        <v>51.2</v>
      </c>
    </row>
    <row r="346" spans="1:9" s="7" customFormat="1" ht="109.5" customHeight="1">
      <c r="A346" s="23" t="s">
        <v>55</v>
      </c>
      <c r="B346" s="14" t="s">
        <v>6</v>
      </c>
      <c r="C346" s="57">
        <v>80</v>
      </c>
      <c r="D346" s="57">
        <v>82</v>
      </c>
      <c r="E346" s="57">
        <v>81</v>
      </c>
      <c r="F346" s="57">
        <v>81</v>
      </c>
      <c r="G346" s="57">
        <v>81</v>
      </c>
      <c r="H346" s="57">
        <v>81</v>
      </c>
      <c r="I346" s="57">
        <v>81</v>
      </c>
    </row>
    <row r="347" spans="1:9" s="7" customFormat="1" ht="16.5" customHeight="1">
      <c r="A347" s="138" t="s">
        <v>14</v>
      </c>
      <c r="B347" s="14"/>
      <c r="C347" s="69"/>
      <c r="D347" s="57"/>
      <c r="E347" s="57"/>
      <c r="F347" s="57"/>
      <c r="G347" s="57"/>
      <c r="H347" s="57"/>
      <c r="I347" s="57"/>
    </row>
    <row r="348" spans="1:9" s="7" customFormat="1" ht="16.5" customHeight="1">
      <c r="A348" s="139" t="s">
        <v>202</v>
      </c>
      <c r="B348" s="14" t="s">
        <v>6</v>
      </c>
      <c r="C348" s="57">
        <v>74</v>
      </c>
      <c r="D348" s="57">
        <v>77</v>
      </c>
      <c r="E348" s="57">
        <v>75</v>
      </c>
      <c r="F348" s="57">
        <v>75</v>
      </c>
      <c r="G348" s="57">
        <v>75</v>
      </c>
      <c r="H348" s="57">
        <v>75</v>
      </c>
      <c r="I348" s="57">
        <v>75</v>
      </c>
    </row>
    <row r="349" spans="1:9" s="7" customFormat="1" ht="18" customHeight="1">
      <c r="A349" s="139" t="s">
        <v>203</v>
      </c>
      <c r="B349" s="14" t="s">
        <v>6</v>
      </c>
      <c r="C349" s="57">
        <v>89</v>
      </c>
      <c r="D349" s="57">
        <v>90</v>
      </c>
      <c r="E349" s="57">
        <v>89</v>
      </c>
      <c r="F349" s="57">
        <v>89</v>
      </c>
      <c r="G349" s="57">
        <v>89</v>
      </c>
      <c r="H349" s="57">
        <v>89</v>
      </c>
      <c r="I349" s="57">
        <v>89</v>
      </c>
    </row>
    <row r="350" spans="1:9" s="7" customFormat="1" ht="78" customHeight="1">
      <c r="A350" s="23" t="s">
        <v>252</v>
      </c>
      <c r="B350" s="14" t="s">
        <v>253</v>
      </c>
      <c r="C350" s="71">
        <f>446/42799*100</f>
        <v>1.0420804224397766</v>
      </c>
      <c r="D350" s="71">
        <f>328/42412*100</f>
        <v>0.773366028482505</v>
      </c>
      <c r="E350" s="71">
        <f>276/41078*100</f>
        <v>0.6718924972004479</v>
      </c>
      <c r="F350" s="71">
        <v>0.64</v>
      </c>
      <c r="G350" s="71">
        <f>271/41078*100</f>
        <v>0.6597205316714543</v>
      </c>
      <c r="H350" s="71">
        <v>0.66</v>
      </c>
      <c r="I350" s="71">
        <v>0.76</v>
      </c>
    </row>
    <row r="351" spans="1:9" s="30" customFormat="1" ht="23.25" customHeight="1">
      <c r="A351" s="172" t="s">
        <v>224</v>
      </c>
      <c r="B351" s="172"/>
      <c r="C351" s="172"/>
      <c r="D351" s="172"/>
      <c r="E351" s="172"/>
      <c r="F351" s="172"/>
      <c r="G351" s="172"/>
      <c r="H351" s="172"/>
      <c r="I351" s="172"/>
    </row>
    <row r="352" spans="1:9" s="4" customFormat="1" ht="36.75" customHeight="1">
      <c r="A352" s="23" t="s">
        <v>229</v>
      </c>
      <c r="B352" s="14" t="s">
        <v>36</v>
      </c>
      <c r="C352" s="72">
        <v>345.4</v>
      </c>
      <c r="D352" s="69">
        <v>345.4</v>
      </c>
      <c r="E352" s="69">
        <v>344.9</v>
      </c>
      <c r="F352" s="69">
        <v>344.9</v>
      </c>
      <c r="G352" s="69">
        <v>344.9</v>
      </c>
      <c r="H352" s="69">
        <v>344.9</v>
      </c>
      <c r="I352" s="69">
        <v>344.9</v>
      </c>
    </row>
    <row r="353" spans="1:9" s="4" customFormat="1" ht="15" customHeight="1">
      <c r="A353" s="23" t="s">
        <v>230</v>
      </c>
      <c r="B353" s="14"/>
      <c r="C353" s="72"/>
      <c r="D353" s="69"/>
      <c r="E353" s="69"/>
      <c r="F353" s="69"/>
      <c r="G353" s="69"/>
      <c r="H353" s="69"/>
      <c r="I353" s="69"/>
    </row>
    <row r="354" spans="1:9" s="4" customFormat="1" ht="25.5" customHeight="1">
      <c r="A354" s="23" t="s">
        <v>231</v>
      </c>
      <c r="B354" s="14" t="s">
        <v>36</v>
      </c>
      <c r="C354" s="72">
        <v>344.9</v>
      </c>
      <c r="D354" s="69">
        <v>344.9</v>
      </c>
      <c r="E354" s="69">
        <v>344.9</v>
      </c>
      <c r="F354" s="69">
        <v>344.9</v>
      </c>
      <c r="G354" s="69">
        <v>344.9</v>
      </c>
      <c r="H354" s="69">
        <v>344.9</v>
      </c>
      <c r="I354" s="69">
        <v>344.9</v>
      </c>
    </row>
    <row r="355" spans="1:9" s="4" customFormat="1" ht="20.25" customHeight="1">
      <c r="A355" s="23" t="s">
        <v>232</v>
      </c>
      <c r="B355" s="14" t="s">
        <v>36</v>
      </c>
      <c r="C355" s="72">
        <v>0.5</v>
      </c>
      <c r="D355" s="69">
        <v>0.5</v>
      </c>
      <c r="E355" s="69">
        <v>0</v>
      </c>
      <c r="F355" s="69">
        <v>0</v>
      </c>
      <c r="G355" s="69">
        <v>0</v>
      </c>
      <c r="H355" s="69">
        <v>0</v>
      </c>
      <c r="I355" s="69">
        <v>0</v>
      </c>
    </row>
    <row r="356" spans="1:9" s="4" customFormat="1" ht="47.25" customHeight="1">
      <c r="A356" s="23" t="s">
        <v>233</v>
      </c>
      <c r="B356" s="14" t="s">
        <v>36</v>
      </c>
      <c r="C356" s="72">
        <v>330.4</v>
      </c>
      <c r="D356" s="69">
        <v>330.4</v>
      </c>
      <c r="E356" s="69">
        <v>329.9</v>
      </c>
      <c r="F356" s="69">
        <v>329.9</v>
      </c>
      <c r="G356" s="69">
        <v>329.9</v>
      </c>
      <c r="H356" s="69">
        <v>329.9</v>
      </c>
      <c r="I356" s="69">
        <v>329.9</v>
      </c>
    </row>
    <row r="357" spans="1:9" s="4" customFormat="1" ht="21.75" customHeight="1">
      <c r="A357" s="23" t="s">
        <v>230</v>
      </c>
      <c r="B357" s="14"/>
      <c r="C357" s="72"/>
      <c r="D357" s="69"/>
      <c r="E357" s="69"/>
      <c r="F357" s="69"/>
      <c r="G357" s="69"/>
      <c r="H357" s="69"/>
      <c r="I357" s="69"/>
    </row>
    <row r="358" spans="1:9" s="4" customFormat="1" ht="19.5" customHeight="1">
      <c r="A358" s="23" t="s">
        <v>231</v>
      </c>
      <c r="B358" s="14" t="s">
        <v>36</v>
      </c>
      <c r="C358" s="72">
        <v>329.9</v>
      </c>
      <c r="D358" s="69">
        <v>329.9</v>
      </c>
      <c r="E358" s="69">
        <v>329.9</v>
      </c>
      <c r="F358" s="69">
        <v>329.9</v>
      </c>
      <c r="G358" s="69">
        <v>329.9</v>
      </c>
      <c r="H358" s="69">
        <v>329.9</v>
      </c>
      <c r="I358" s="69">
        <v>329.9</v>
      </c>
    </row>
    <row r="359" spans="1:9" s="4" customFormat="1" ht="19.5" customHeight="1">
      <c r="A359" s="23" t="s">
        <v>232</v>
      </c>
      <c r="B359" s="14" t="s">
        <v>36</v>
      </c>
      <c r="C359" s="72">
        <v>0.5</v>
      </c>
      <c r="D359" s="69">
        <v>0.5</v>
      </c>
      <c r="E359" s="69">
        <v>0</v>
      </c>
      <c r="F359" s="69">
        <v>0</v>
      </c>
      <c r="G359" s="69">
        <v>0</v>
      </c>
      <c r="H359" s="69">
        <v>0</v>
      </c>
      <c r="I359" s="69">
        <v>0</v>
      </c>
    </row>
    <row r="360" spans="1:9" s="5" customFormat="1" ht="48.75" customHeight="1">
      <c r="A360" s="23" t="s">
        <v>82</v>
      </c>
      <c r="B360" s="14" t="s">
        <v>36</v>
      </c>
      <c r="C360" s="72">
        <v>0</v>
      </c>
      <c r="D360" s="69">
        <v>0</v>
      </c>
      <c r="E360" s="69">
        <v>0</v>
      </c>
      <c r="F360" s="69">
        <v>1.5</v>
      </c>
      <c r="G360" s="69">
        <v>0</v>
      </c>
      <c r="H360" s="69">
        <v>0</v>
      </c>
      <c r="I360" s="69">
        <v>0</v>
      </c>
    </row>
    <row r="361" spans="1:9" s="29" customFormat="1" ht="21" customHeight="1">
      <c r="A361" s="166" t="s">
        <v>259</v>
      </c>
      <c r="B361" s="166"/>
      <c r="C361" s="166"/>
      <c r="D361" s="166"/>
      <c r="E361" s="166"/>
      <c r="F361" s="166"/>
      <c r="G361" s="166"/>
      <c r="H361" s="166"/>
      <c r="I361" s="166"/>
    </row>
    <row r="362" spans="1:9" s="7" customFormat="1" ht="47.25" customHeight="1">
      <c r="A362" s="140" t="s">
        <v>47</v>
      </c>
      <c r="B362" s="14" t="s">
        <v>180</v>
      </c>
      <c r="C362" s="93">
        <v>8.875</v>
      </c>
      <c r="D362" s="93">
        <v>5.282</v>
      </c>
      <c r="E362" s="93">
        <v>5.42</v>
      </c>
      <c r="F362" s="93">
        <v>5.4</v>
      </c>
      <c r="G362" s="93">
        <v>5.72</v>
      </c>
      <c r="H362" s="93">
        <v>6.68</v>
      </c>
      <c r="I362" s="93">
        <v>7.61</v>
      </c>
    </row>
    <row r="363" spans="1:9" s="7" customFormat="1" ht="18" customHeight="1">
      <c r="A363" s="140" t="s">
        <v>14</v>
      </c>
      <c r="B363" s="13"/>
      <c r="C363" s="94"/>
      <c r="D363" s="95"/>
      <c r="E363" s="95"/>
      <c r="F363" s="95"/>
      <c r="G363" s="95"/>
      <c r="H363" s="95"/>
      <c r="I363" s="95"/>
    </row>
    <row r="364" spans="1:9" s="7" customFormat="1" ht="38.25" customHeight="1">
      <c r="A364" s="141" t="s">
        <v>181</v>
      </c>
      <c r="B364" s="14" t="s">
        <v>180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</row>
    <row r="365" spans="1:9" s="7" customFormat="1" ht="63" customHeight="1">
      <c r="A365" s="141" t="s">
        <v>182</v>
      </c>
      <c r="B365" s="14" t="s">
        <v>180</v>
      </c>
      <c r="C365" s="95">
        <v>5.943</v>
      </c>
      <c r="D365" s="95">
        <v>4.782</v>
      </c>
      <c r="E365" s="93">
        <v>5.189</v>
      </c>
      <c r="F365" s="93">
        <v>4.28</v>
      </c>
      <c r="G365" s="93">
        <v>5.72</v>
      </c>
      <c r="H365" s="93">
        <v>6.68</v>
      </c>
      <c r="I365" s="93">
        <v>7.61</v>
      </c>
    </row>
    <row r="366" spans="1:9" s="7" customFormat="1" ht="47.25" customHeight="1">
      <c r="A366" s="140" t="s">
        <v>189</v>
      </c>
      <c r="B366" s="14" t="s">
        <v>183</v>
      </c>
      <c r="C366" s="96">
        <v>110.1</v>
      </c>
      <c r="D366" s="96">
        <v>107.7</v>
      </c>
      <c r="E366" s="96">
        <v>86</v>
      </c>
      <c r="F366" s="96">
        <v>74.8</v>
      </c>
      <c r="G366" s="96">
        <v>68.2</v>
      </c>
      <c r="H366" s="96">
        <v>67.8</v>
      </c>
      <c r="I366" s="96">
        <v>66.3</v>
      </c>
    </row>
    <row r="367" spans="1:9" s="7" customFormat="1" ht="16.5" customHeight="1">
      <c r="A367" s="140" t="s">
        <v>14</v>
      </c>
      <c r="B367" s="14"/>
      <c r="C367" s="94"/>
      <c r="D367" s="94"/>
      <c r="E367" s="94"/>
      <c r="F367" s="95"/>
      <c r="G367" s="95"/>
      <c r="H367" s="95"/>
      <c r="I367" s="95"/>
    </row>
    <row r="368" spans="1:9" s="7" customFormat="1" ht="57" customHeight="1">
      <c r="A368" s="141" t="s">
        <v>184</v>
      </c>
      <c r="B368" s="14" t="s">
        <v>183</v>
      </c>
      <c r="C368" s="88">
        <v>57.2</v>
      </c>
      <c r="D368" s="88">
        <v>57.8</v>
      </c>
      <c r="E368" s="88">
        <v>57.8</v>
      </c>
      <c r="F368" s="88">
        <v>59.1</v>
      </c>
      <c r="G368" s="88">
        <v>61.4</v>
      </c>
      <c r="H368" s="88">
        <v>61.4</v>
      </c>
      <c r="I368" s="88">
        <v>61.4</v>
      </c>
    </row>
    <row r="369" spans="1:9" s="7" customFormat="1" ht="45" customHeight="1">
      <c r="A369" s="37" t="s">
        <v>48</v>
      </c>
      <c r="B369" s="14" t="s">
        <v>49</v>
      </c>
      <c r="C369" s="95">
        <v>24.7</v>
      </c>
      <c r="D369" s="95">
        <v>25.6</v>
      </c>
      <c r="E369" s="96">
        <f>(1050.3+5.42)/40.153</f>
        <v>26.292431449704882</v>
      </c>
      <c r="F369" s="96">
        <f>(1055.72+F362)/39.76</f>
        <v>26.68812877263582</v>
      </c>
      <c r="G369" s="96">
        <f>(1055.72+F362-5+G362)/39.4</f>
        <v>26.950253807106602</v>
      </c>
      <c r="H369" s="96">
        <f>(1055.72+F362+G362-5+H362)/39.16</f>
        <v>27.286006128702766</v>
      </c>
      <c r="I369" s="96">
        <f>(1055.72+F362+G362+H362-5+I362)/39</f>
        <v>27.593076923076925</v>
      </c>
    </row>
    <row r="370" spans="1:9" s="7" customFormat="1" ht="60" customHeight="1">
      <c r="A370" s="37" t="s">
        <v>260</v>
      </c>
      <c r="B370" s="14" t="s">
        <v>151</v>
      </c>
      <c r="C370" s="95">
        <v>129</v>
      </c>
      <c r="D370" s="97">
        <v>65</v>
      </c>
      <c r="E370" s="97">
        <v>27</v>
      </c>
      <c r="F370" s="97">
        <f>20+7+2+5</f>
        <v>34</v>
      </c>
      <c r="G370" s="97">
        <f>20+5+2+3</f>
        <v>30</v>
      </c>
      <c r="H370" s="97">
        <f>20+5+2+3</f>
        <v>30</v>
      </c>
      <c r="I370" s="97">
        <f>20+5+2+3</f>
        <v>30</v>
      </c>
    </row>
    <row r="371" spans="1:9" s="7" customFormat="1" ht="63" customHeight="1">
      <c r="A371" s="37" t="s">
        <v>258</v>
      </c>
      <c r="B371" s="14" t="s">
        <v>180</v>
      </c>
      <c r="C371" s="96">
        <v>5.189</v>
      </c>
      <c r="D371" s="96">
        <v>2.5</v>
      </c>
      <c r="E371" s="96">
        <v>0.9</v>
      </c>
      <c r="F371" s="96">
        <f>0.904+0.56</f>
        <v>1.464</v>
      </c>
      <c r="G371" s="96">
        <f>0.904+0.4</f>
        <v>1.304</v>
      </c>
      <c r="H371" s="96">
        <f>0.904+0.4</f>
        <v>1.304</v>
      </c>
      <c r="I371" s="96">
        <f>0.904+0.4</f>
        <v>1.304</v>
      </c>
    </row>
    <row r="372" spans="1:9" s="7" customFormat="1" ht="45.75" customHeight="1">
      <c r="A372" s="37" t="s">
        <v>185</v>
      </c>
      <c r="B372" s="14" t="s">
        <v>6</v>
      </c>
      <c r="C372" s="95">
        <v>100</v>
      </c>
      <c r="D372" s="95">
        <v>100</v>
      </c>
      <c r="E372" s="95">
        <v>100</v>
      </c>
      <c r="F372" s="95">
        <v>100</v>
      </c>
      <c r="G372" s="95">
        <v>100</v>
      </c>
      <c r="H372" s="95">
        <v>100</v>
      </c>
      <c r="I372" s="95">
        <v>100</v>
      </c>
    </row>
    <row r="373" spans="1:9" s="7" customFormat="1" ht="47.25" customHeight="1">
      <c r="A373" s="37" t="s">
        <v>208</v>
      </c>
      <c r="B373" s="14" t="s">
        <v>211</v>
      </c>
      <c r="C373" s="95">
        <v>0.01</v>
      </c>
      <c r="D373" s="95">
        <v>0.8</v>
      </c>
      <c r="E373" s="95">
        <v>0</v>
      </c>
      <c r="F373" s="95">
        <v>0.0002</v>
      </c>
      <c r="G373" s="95">
        <v>0</v>
      </c>
      <c r="H373" s="95">
        <v>0</v>
      </c>
      <c r="I373" s="95">
        <v>0</v>
      </c>
    </row>
    <row r="374" spans="1:9" s="7" customFormat="1" ht="46.5" customHeight="1">
      <c r="A374" s="142" t="s">
        <v>50</v>
      </c>
      <c r="B374" s="148" t="s">
        <v>273</v>
      </c>
      <c r="C374" s="95">
        <v>302.2</v>
      </c>
      <c r="D374" s="95">
        <v>358.9</v>
      </c>
      <c r="E374" s="95">
        <v>417.9</v>
      </c>
      <c r="F374" s="95">
        <v>440.9</v>
      </c>
      <c r="G374" s="95">
        <v>477.5</v>
      </c>
      <c r="H374" s="95">
        <v>511.4</v>
      </c>
      <c r="I374" s="95">
        <v>546.7</v>
      </c>
    </row>
    <row r="375" spans="1:9" s="25" customFormat="1" ht="21" customHeight="1">
      <c r="A375" s="166" t="s">
        <v>118</v>
      </c>
      <c r="B375" s="166"/>
      <c r="C375" s="166"/>
      <c r="D375" s="166"/>
      <c r="E375" s="166"/>
      <c r="F375" s="166"/>
      <c r="G375" s="166"/>
      <c r="H375" s="166"/>
      <c r="I375" s="166"/>
    </row>
    <row r="376" spans="1:9" s="9" customFormat="1" ht="64.5" customHeight="1">
      <c r="A376" s="23" t="s">
        <v>137</v>
      </c>
      <c r="B376" s="18" t="s">
        <v>122</v>
      </c>
      <c r="C376" s="87">
        <v>846625</v>
      </c>
      <c r="D376" s="87">
        <v>905097</v>
      </c>
      <c r="E376" s="87">
        <v>991818</v>
      </c>
      <c r="F376" s="87">
        <v>1074061</v>
      </c>
      <c r="G376" s="87">
        <v>984002</v>
      </c>
      <c r="H376" s="87">
        <v>904662</v>
      </c>
      <c r="I376" s="87">
        <v>865727</v>
      </c>
    </row>
    <row r="377" spans="1:9" s="25" customFormat="1" ht="21" customHeight="1">
      <c r="A377" s="166" t="s">
        <v>119</v>
      </c>
      <c r="B377" s="166"/>
      <c r="C377" s="166"/>
      <c r="D377" s="166"/>
      <c r="E377" s="166"/>
      <c r="F377" s="166"/>
      <c r="G377" s="166"/>
      <c r="H377" s="166"/>
      <c r="I377" s="166"/>
    </row>
    <row r="378" spans="1:9" s="21" customFormat="1" ht="21" customHeight="1">
      <c r="A378" s="23" t="s">
        <v>123</v>
      </c>
      <c r="B378" s="18" t="s">
        <v>134</v>
      </c>
      <c r="C378" s="98">
        <v>17112380</v>
      </c>
      <c r="D378" s="98">
        <v>17112380</v>
      </c>
      <c r="E378" s="99">
        <v>17112380</v>
      </c>
      <c r="F378" s="99">
        <v>17112380</v>
      </c>
      <c r="G378" s="99">
        <v>17112380</v>
      </c>
      <c r="H378" s="99">
        <v>17112380</v>
      </c>
      <c r="I378" s="99">
        <v>17112380</v>
      </c>
    </row>
    <row r="379" spans="1:9" s="21" customFormat="1" ht="21" customHeight="1">
      <c r="A379" s="23" t="s">
        <v>14</v>
      </c>
      <c r="B379" s="18"/>
      <c r="C379" s="100"/>
      <c r="D379" s="98"/>
      <c r="E379" s="99"/>
      <c r="F379" s="99"/>
      <c r="G379" s="99"/>
      <c r="H379" s="99"/>
      <c r="I379" s="99"/>
    </row>
    <row r="380" spans="1:9" s="21" customFormat="1" ht="32.25" customHeight="1">
      <c r="A380" s="40" t="s">
        <v>138</v>
      </c>
      <c r="B380" s="18" t="s">
        <v>134</v>
      </c>
      <c r="C380" s="101">
        <v>1672664</v>
      </c>
      <c r="D380" s="98">
        <v>1646740</v>
      </c>
      <c r="E380" s="99">
        <v>1646360</v>
      </c>
      <c r="F380" s="99">
        <v>1637750</v>
      </c>
      <c r="G380" s="99">
        <v>1637750</v>
      </c>
      <c r="H380" s="99">
        <v>1637730</v>
      </c>
      <c r="I380" s="99">
        <v>1637710</v>
      </c>
    </row>
    <row r="381" spans="1:9" s="21" customFormat="1" ht="31.5" customHeight="1">
      <c r="A381" s="40" t="s">
        <v>139</v>
      </c>
      <c r="B381" s="18" t="s">
        <v>134</v>
      </c>
      <c r="C381" s="102">
        <v>15439716</v>
      </c>
      <c r="D381" s="98">
        <f>D378-D380</f>
        <v>15465640</v>
      </c>
      <c r="E381" s="99">
        <v>15476020</v>
      </c>
      <c r="F381" s="99">
        <v>15474630</v>
      </c>
      <c r="G381" s="99">
        <v>15474630</v>
      </c>
      <c r="H381" s="99">
        <v>15474650</v>
      </c>
      <c r="I381" s="99">
        <v>15474670</v>
      </c>
    </row>
    <row r="382" spans="1:9" s="21" customFormat="1" ht="32.25" customHeight="1">
      <c r="A382" s="39" t="s">
        <v>124</v>
      </c>
      <c r="B382" s="18" t="s">
        <v>134</v>
      </c>
      <c r="C382" s="75">
        <f>C383+C384</f>
        <v>148760</v>
      </c>
      <c r="D382" s="73">
        <f>D383+D384</f>
        <v>150760</v>
      </c>
      <c r="E382" s="74">
        <v>150880</v>
      </c>
      <c r="F382" s="74">
        <v>150880</v>
      </c>
      <c r="G382" s="74">
        <v>150890</v>
      </c>
      <c r="H382" s="74">
        <v>150900</v>
      </c>
      <c r="I382" s="74">
        <v>150910</v>
      </c>
    </row>
    <row r="383" spans="1:9" s="9" customFormat="1" ht="31.5" customHeight="1">
      <c r="A383" s="41" t="s">
        <v>125</v>
      </c>
      <c r="B383" s="18" t="s">
        <v>134</v>
      </c>
      <c r="C383" s="75">
        <v>129340</v>
      </c>
      <c r="D383" s="73">
        <v>129340</v>
      </c>
      <c r="E383" s="74">
        <v>129340</v>
      </c>
      <c r="F383" s="74">
        <v>129330</v>
      </c>
      <c r="G383" s="74">
        <v>129330</v>
      </c>
      <c r="H383" s="74">
        <v>129320</v>
      </c>
      <c r="I383" s="74">
        <v>129310</v>
      </c>
    </row>
    <row r="384" spans="1:9" s="9" customFormat="1" ht="21.75" customHeight="1">
      <c r="A384" s="41" t="s">
        <v>126</v>
      </c>
      <c r="B384" s="18" t="s">
        <v>134</v>
      </c>
      <c r="C384" s="75">
        <v>19420</v>
      </c>
      <c r="D384" s="73">
        <v>21420</v>
      </c>
      <c r="E384" s="74">
        <v>21540</v>
      </c>
      <c r="F384" s="74">
        <v>21550</v>
      </c>
      <c r="G384" s="74">
        <v>21560</v>
      </c>
      <c r="H384" s="74">
        <v>21580</v>
      </c>
      <c r="I384" s="74">
        <v>21600</v>
      </c>
    </row>
    <row r="385" spans="1:9" s="9" customFormat="1" ht="31.5" customHeight="1">
      <c r="A385" s="39" t="s">
        <v>127</v>
      </c>
      <c r="B385" s="18" t="s">
        <v>134</v>
      </c>
      <c r="C385" s="75">
        <f>C386+C387</f>
        <v>386330</v>
      </c>
      <c r="D385" s="73">
        <f>D386+D387</f>
        <v>251350</v>
      </c>
      <c r="E385" s="74">
        <v>247780</v>
      </c>
      <c r="F385" s="74">
        <v>246410</v>
      </c>
      <c r="G385" s="74">
        <v>246430</v>
      </c>
      <c r="H385" s="74">
        <v>246450</v>
      </c>
      <c r="I385" s="74">
        <v>246470</v>
      </c>
    </row>
    <row r="386" spans="1:9" s="9" customFormat="1" ht="18" customHeight="1">
      <c r="A386" s="41" t="s">
        <v>128</v>
      </c>
      <c r="B386" s="18" t="s">
        <v>134</v>
      </c>
      <c r="C386" s="75">
        <v>359150</v>
      </c>
      <c r="D386" s="73">
        <v>224150</v>
      </c>
      <c r="E386" s="74">
        <v>220360</v>
      </c>
      <c r="F386" s="74">
        <v>218970</v>
      </c>
      <c r="G386" s="74">
        <v>218970</v>
      </c>
      <c r="H386" s="74">
        <v>218970</v>
      </c>
      <c r="I386" s="74">
        <v>218970</v>
      </c>
    </row>
    <row r="387" spans="1:9" s="9" customFormat="1" ht="18" customHeight="1">
      <c r="A387" s="41" t="s">
        <v>126</v>
      </c>
      <c r="B387" s="18" t="s">
        <v>134</v>
      </c>
      <c r="C387" s="75">
        <v>27180</v>
      </c>
      <c r="D387" s="73">
        <v>27200</v>
      </c>
      <c r="E387" s="74">
        <v>27420</v>
      </c>
      <c r="F387" s="74">
        <v>27440</v>
      </c>
      <c r="G387" s="74">
        <v>27460</v>
      </c>
      <c r="H387" s="74">
        <v>27480</v>
      </c>
      <c r="I387" s="74">
        <v>27500</v>
      </c>
    </row>
    <row r="388" spans="1:9" s="9" customFormat="1" ht="32.25" customHeight="1">
      <c r="A388" s="23" t="s">
        <v>140</v>
      </c>
      <c r="B388" s="18" t="s">
        <v>134</v>
      </c>
      <c r="C388" s="75">
        <v>10540</v>
      </c>
      <c r="D388" s="73">
        <v>10540</v>
      </c>
      <c r="E388" s="76">
        <v>10540</v>
      </c>
      <c r="F388" s="76">
        <v>10540</v>
      </c>
      <c r="G388" s="76">
        <v>10540</v>
      </c>
      <c r="H388" s="76">
        <v>10590</v>
      </c>
      <c r="I388" s="74">
        <v>10650</v>
      </c>
    </row>
    <row r="389" spans="1:9" s="9" customFormat="1" ht="20.25" customHeight="1">
      <c r="A389" s="23" t="s">
        <v>14</v>
      </c>
      <c r="B389" s="18"/>
      <c r="C389" s="77"/>
      <c r="D389" s="73"/>
      <c r="E389" s="74"/>
      <c r="F389" s="74"/>
      <c r="G389" s="74"/>
      <c r="H389" s="74"/>
      <c r="I389" s="74"/>
    </row>
    <row r="390" spans="1:9" s="9" customFormat="1" ht="21" customHeight="1">
      <c r="A390" s="27" t="s">
        <v>129</v>
      </c>
      <c r="B390" s="18" t="s">
        <v>134</v>
      </c>
      <c r="C390" s="75">
        <v>5810</v>
      </c>
      <c r="D390" s="75">
        <v>5810</v>
      </c>
      <c r="E390" s="76">
        <v>5810</v>
      </c>
      <c r="F390" s="76">
        <v>5810</v>
      </c>
      <c r="G390" s="76">
        <v>5810</v>
      </c>
      <c r="H390" s="76">
        <v>5860</v>
      </c>
      <c r="I390" s="74">
        <v>5910</v>
      </c>
    </row>
    <row r="391" spans="1:9" s="9" customFormat="1" ht="32.25" customHeight="1">
      <c r="A391" s="27" t="s">
        <v>130</v>
      </c>
      <c r="B391" s="18" t="s">
        <v>134</v>
      </c>
      <c r="C391" s="75">
        <v>4730</v>
      </c>
      <c r="D391" s="75">
        <v>4730</v>
      </c>
      <c r="E391" s="76">
        <v>4730</v>
      </c>
      <c r="F391" s="76">
        <v>4730</v>
      </c>
      <c r="G391" s="76">
        <v>4730</v>
      </c>
      <c r="H391" s="76">
        <v>4730</v>
      </c>
      <c r="I391" s="74">
        <v>4740</v>
      </c>
    </row>
    <row r="392" spans="1:9" s="9" customFormat="1" ht="79.5" customHeight="1">
      <c r="A392" s="23" t="s">
        <v>135</v>
      </c>
      <c r="B392" s="18" t="s">
        <v>134</v>
      </c>
      <c r="C392" s="75">
        <v>10</v>
      </c>
      <c r="D392" s="75">
        <v>10</v>
      </c>
      <c r="E392" s="76">
        <v>10</v>
      </c>
      <c r="F392" s="76">
        <v>10</v>
      </c>
      <c r="G392" s="76">
        <v>10</v>
      </c>
      <c r="H392" s="76">
        <v>10</v>
      </c>
      <c r="I392" s="76">
        <v>30</v>
      </c>
    </row>
    <row r="393" spans="1:9" s="9" customFormat="1" ht="33.75" customHeight="1">
      <c r="A393" s="23" t="s">
        <v>131</v>
      </c>
      <c r="B393" s="18" t="s">
        <v>134</v>
      </c>
      <c r="C393" s="75">
        <v>135060</v>
      </c>
      <c r="D393" s="75">
        <v>135060</v>
      </c>
      <c r="E393" s="76">
        <v>135060</v>
      </c>
      <c r="F393" s="76">
        <v>135060</v>
      </c>
      <c r="G393" s="76">
        <v>135060</v>
      </c>
      <c r="H393" s="76">
        <v>135060</v>
      </c>
      <c r="I393" s="76">
        <v>134850</v>
      </c>
    </row>
    <row r="394" spans="1:9" s="9" customFormat="1" ht="21" customHeight="1">
      <c r="A394" s="23" t="s">
        <v>132</v>
      </c>
      <c r="B394" s="18"/>
      <c r="C394" s="77"/>
      <c r="D394" s="77"/>
      <c r="E394" s="74"/>
      <c r="F394" s="74"/>
      <c r="G394" s="74"/>
      <c r="H394" s="74"/>
      <c r="I394" s="76"/>
    </row>
    <row r="395" spans="1:9" s="9" customFormat="1" ht="46.5" customHeight="1">
      <c r="A395" s="27" t="s">
        <v>133</v>
      </c>
      <c r="B395" s="18" t="s">
        <v>134</v>
      </c>
      <c r="C395" s="75">
        <v>49770</v>
      </c>
      <c r="D395" s="75">
        <v>49770</v>
      </c>
      <c r="E395" s="76">
        <v>49770</v>
      </c>
      <c r="F395" s="76">
        <v>49770</v>
      </c>
      <c r="G395" s="76">
        <v>49770</v>
      </c>
      <c r="H395" s="76">
        <v>49770</v>
      </c>
      <c r="I395" s="76">
        <v>49700</v>
      </c>
    </row>
    <row r="396" spans="1:9" s="22" customFormat="1" ht="21" customHeight="1">
      <c r="A396" s="166" t="s">
        <v>120</v>
      </c>
      <c r="B396" s="166"/>
      <c r="C396" s="166"/>
      <c r="D396" s="166"/>
      <c r="E396" s="166"/>
      <c r="F396" s="166"/>
      <c r="G396" s="166"/>
      <c r="H396" s="166"/>
      <c r="I396" s="166"/>
    </row>
    <row r="397" spans="1:9" s="9" customFormat="1" ht="33" customHeight="1">
      <c r="A397" s="23" t="s">
        <v>204</v>
      </c>
      <c r="B397" s="13" t="s">
        <v>44</v>
      </c>
      <c r="C397" s="45">
        <f>(43186+42412)/2/1000</f>
        <v>42.799</v>
      </c>
      <c r="D397" s="45">
        <v>41.345</v>
      </c>
      <c r="E397" s="57">
        <f>(41076+40153)/2/1000</f>
        <v>40.6145</v>
      </c>
      <c r="F397" s="57">
        <f>(40.153+39.76)/2</f>
        <v>39.9565</v>
      </c>
      <c r="G397" s="57">
        <f>(39.76+39.4)/2</f>
        <v>39.58</v>
      </c>
      <c r="H397" s="57">
        <f>(39.4+39.16)/2</f>
        <v>39.28</v>
      </c>
      <c r="I397" s="57">
        <f>(39.16+39)/2</f>
        <v>39.08</v>
      </c>
    </row>
    <row r="398" spans="1:9" s="9" customFormat="1" ht="16.5" customHeight="1">
      <c r="A398" s="23" t="s">
        <v>14</v>
      </c>
      <c r="B398" s="13"/>
      <c r="C398" s="45"/>
      <c r="D398" s="78"/>
      <c r="E398" s="57"/>
      <c r="F398" s="57"/>
      <c r="G398" s="57"/>
      <c r="H398" s="57"/>
      <c r="I398" s="143"/>
    </row>
    <row r="399" spans="1:9" s="9" customFormat="1" ht="19.5" customHeight="1">
      <c r="A399" s="131" t="s">
        <v>205</v>
      </c>
      <c r="B399" s="13" t="s">
        <v>44</v>
      </c>
      <c r="C399" s="45">
        <v>25</v>
      </c>
      <c r="D399" s="45">
        <v>24.1</v>
      </c>
      <c r="E399" s="57">
        <f>(24.044+23.499)/2</f>
        <v>23.7715</v>
      </c>
      <c r="F399" s="57">
        <f>(23.499+23.254)/2</f>
        <v>23.3765</v>
      </c>
      <c r="G399" s="57">
        <f>(23.25+23.05)/2</f>
        <v>23.15</v>
      </c>
      <c r="H399" s="57">
        <v>23</v>
      </c>
      <c r="I399" s="57">
        <v>23</v>
      </c>
    </row>
    <row r="400" spans="1:9" s="9" customFormat="1" ht="18.75" customHeight="1">
      <c r="A400" s="131" t="s">
        <v>206</v>
      </c>
      <c r="B400" s="13" t="s">
        <v>44</v>
      </c>
      <c r="C400" s="45">
        <f>C397-C399</f>
        <v>17.799</v>
      </c>
      <c r="D400" s="45">
        <v>17.1</v>
      </c>
      <c r="E400" s="57">
        <f>(17.032+16.654)/2</f>
        <v>16.843</v>
      </c>
      <c r="F400" s="57">
        <f>(16.654+16.508)/2</f>
        <v>16.581</v>
      </c>
      <c r="G400" s="57">
        <f>G397-G399</f>
        <v>16.43</v>
      </c>
      <c r="H400" s="57">
        <f>H397-H399</f>
        <v>16.28</v>
      </c>
      <c r="I400" s="57">
        <f>I397-I399</f>
        <v>16.08</v>
      </c>
    </row>
    <row r="401" spans="1:9" s="9" customFormat="1" ht="28.5" customHeight="1">
      <c r="A401" s="23" t="s">
        <v>254</v>
      </c>
      <c r="B401" s="13" t="s">
        <v>255</v>
      </c>
      <c r="C401" s="45">
        <v>-3.3</v>
      </c>
      <c r="D401" s="45">
        <v>-2.8</v>
      </c>
      <c r="E401" s="57">
        <f>-130/E397</f>
        <v>-3.200827290745916</v>
      </c>
      <c r="F401" s="57">
        <f>-132/F397</f>
        <v>-3.3035926570145033</v>
      </c>
      <c r="G401" s="57">
        <f>-130/G397</f>
        <v>-3.284487114704396</v>
      </c>
      <c r="H401" s="57">
        <f>-120/H397</f>
        <v>-3.054989816700611</v>
      </c>
      <c r="I401" s="57">
        <f>-115/I397</f>
        <v>-2.942681678607984</v>
      </c>
    </row>
    <row r="402" spans="1:9" s="152" customFormat="1" ht="21" customHeight="1">
      <c r="A402" s="166" t="s">
        <v>250</v>
      </c>
      <c r="B402" s="166"/>
      <c r="C402" s="166"/>
      <c r="D402" s="166"/>
      <c r="E402" s="166"/>
      <c r="F402" s="166"/>
      <c r="G402" s="166"/>
      <c r="H402" s="166"/>
      <c r="I402" s="166"/>
    </row>
    <row r="403" spans="1:9" s="153" customFormat="1" ht="45.75" customHeight="1">
      <c r="A403" s="23" t="s">
        <v>225</v>
      </c>
      <c r="B403" s="18" t="s">
        <v>45</v>
      </c>
      <c r="C403" s="68">
        <v>238</v>
      </c>
      <c r="D403" s="68" t="s">
        <v>256</v>
      </c>
      <c r="E403" s="68">
        <v>238</v>
      </c>
      <c r="F403" s="154">
        <v>241</v>
      </c>
      <c r="G403" s="154">
        <v>241</v>
      </c>
      <c r="H403" s="154">
        <v>241</v>
      </c>
      <c r="I403" s="154">
        <v>241</v>
      </c>
    </row>
    <row r="404" spans="1:9" s="153" customFormat="1" ht="30" customHeight="1">
      <c r="A404" s="23" t="s">
        <v>226</v>
      </c>
      <c r="B404" s="18" t="s">
        <v>45</v>
      </c>
      <c r="C404" s="68">
        <v>143</v>
      </c>
      <c r="D404" s="68" t="s">
        <v>257</v>
      </c>
      <c r="E404" s="68">
        <v>144</v>
      </c>
      <c r="F404" s="154">
        <v>147</v>
      </c>
      <c r="G404" s="154">
        <v>147</v>
      </c>
      <c r="H404" s="154">
        <v>147</v>
      </c>
      <c r="I404" s="154">
        <v>147</v>
      </c>
    </row>
    <row r="405" spans="1:9" s="24" customFormat="1" ht="36" customHeight="1">
      <c r="A405" s="23" t="s">
        <v>136</v>
      </c>
      <c r="B405" s="18" t="s">
        <v>122</v>
      </c>
      <c r="C405" s="80">
        <v>109764</v>
      </c>
      <c r="D405" s="80">
        <v>110879</v>
      </c>
      <c r="E405" s="80">
        <v>125185.5</v>
      </c>
      <c r="F405" s="110">
        <v>128420</v>
      </c>
      <c r="G405" s="110">
        <v>151711</v>
      </c>
      <c r="H405" s="110">
        <v>153163</v>
      </c>
      <c r="I405" s="110">
        <v>154604</v>
      </c>
    </row>
    <row r="406" spans="1:9" s="9" customFormat="1" ht="21" customHeight="1">
      <c r="A406" s="166" t="s">
        <v>121</v>
      </c>
      <c r="B406" s="166"/>
      <c r="C406" s="166"/>
      <c r="D406" s="166"/>
      <c r="E406" s="166"/>
      <c r="F406" s="166"/>
      <c r="G406" s="166"/>
      <c r="H406" s="166"/>
      <c r="I406" s="166"/>
    </row>
    <row r="407" spans="1:9" s="9" customFormat="1" ht="65.25" customHeight="1">
      <c r="A407" s="23" t="s">
        <v>212</v>
      </c>
      <c r="B407" s="18" t="s">
        <v>151</v>
      </c>
      <c r="C407" s="68">
        <v>86</v>
      </c>
      <c r="D407" s="68">
        <v>89</v>
      </c>
      <c r="E407" s="68">
        <v>63</v>
      </c>
      <c r="F407" s="79">
        <v>63</v>
      </c>
      <c r="G407" s="79">
        <v>63</v>
      </c>
      <c r="H407" s="79">
        <v>63</v>
      </c>
      <c r="I407" s="79">
        <v>63</v>
      </c>
    </row>
    <row r="408" spans="1:9" s="9" customFormat="1" ht="30.75" customHeight="1">
      <c r="A408" s="23" t="s">
        <v>146</v>
      </c>
      <c r="B408" s="18" t="s">
        <v>152</v>
      </c>
      <c r="C408" s="45">
        <v>1939</v>
      </c>
      <c r="D408" s="45">
        <v>2867</v>
      </c>
      <c r="E408" s="45">
        <v>3665</v>
      </c>
      <c r="F408" s="45">
        <v>3665</v>
      </c>
      <c r="G408" s="45">
        <v>3665</v>
      </c>
      <c r="H408" s="45">
        <v>3665</v>
      </c>
      <c r="I408" s="45">
        <v>3665</v>
      </c>
    </row>
    <row r="409" spans="1:9" s="9" customFormat="1" ht="21" customHeight="1">
      <c r="A409" s="27" t="s">
        <v>39</v>
      </c>
      <c r="B409" s="18"/>
      <c r="C409" s="81"/>
      <c r="D409" s="81"/>
      <c r="E409" s="81"/>
      <c r="F409" s="81"/>
      <c r="G409" s="81"/>
      <c r="H409" s="82"/>
      <c r="I409" s="83"/>
    </row>
    <row r="410" spans="1:9" s="9" customFormat="1" ht="19.5" customHeight="1">
      <c r="A410" s="28" t="s">
        <v>147</v>
      </c>
      <c r="B410" s="18" t="s">
        <v>152</v>
      </c>
      <c r="C410" s="45">
        <v>413</v>
      </c>
      <c r="D410" s="45">
        <v>260</v>
      </c>
      <c r="E410" s="45">
        <v>244</v>
      </c>
      <c r="F410" s="45">
        <v>244</v>
      </c>
      <c r="G410" s="45">
        <v>244</v>
      </c>
      <c r="H410" s="45">
        <v>244</v>
      </c>
      <c r="I410" s="45">
        <v>244</v>
      </c>
    </row>
    <row r="411" spans="1:9" s="9" customFormat="1" ht="30.75" customHeight="1">
      <c r="A411" s="28" t="s">
        <v>148</v>
      </c>
      <c r="B411" s="18" t="s">
        <v>152</v>
      </c>
      <c r="C411" s="45">
        <v>1526</v>
      </c>
      <c r="D411" s="45">
        <v>2607</v>
      </c>
      <c r="E411" s="45">
        <v>3421</v>
      </c>
      <c r="F411" s="45">
        <v>3421</v>
      </c>
      <c r="G411" s="45">
        <v>3421</v>
      </c>
      <c r="H411" s="45">
        <v>3421</v>
      </c>
      <c r="I411" s="45">
        <v>3421</v>
      </c>
    </row>
    <row r="412" spans="1:9" s="9" customFormat="1" ht="21" customHeight="1">
      <c r="A412" s="23" t="s">
        <v>149</v>
      </c>
      <c r="B412" s="18" t="s">
        <v>152</v>
      </c>
      <c r="C412" s="48">
        <f aca="true" t="shared" si="38" ref="C412:I412">C408/C397/1000</f>
        <v>0.04530479684104769</v>
      </c>
      <c r="D412" s="48">
        <f t="shared" si="38"/>
        <v>0.06934333051154916</v>
      </c>
      <c r="E412" s="48">
        <f t="shared" si="38"/>
        <v>0.09023870785064447</v>
      </c>
      <c r="F412" s="84">
        <f t="shared" si="38"/>
        <v>0.09172475066634966</v>
      </c>
      <c r="G412" s="48">
        <f t="shared" si="38"/>
        <v>0.09259727134916625</v>
      </c>
      <c r="H412" s="48">
        <f t="shared" si="38"/>
        <v>0.09330448065173115</v>
      </c>
      <c r="I412" s="48">
        <f t="shared" si="38"/>
        <v>0.09378198567041966</v>
      </c>
    </row>
    <row r="413" spans="1:9" s="9" customFormat="1" ht="32.25" customHeight="1">
      <c r="A413" s="23" t="s">
        <v>150</v>
      </c>
      <c r="B413" s="149" t="s">
        <v>32</v>
      </c>
      <c r="C413" s="45">
        <v>3230</v>
      </c>
      <c r="D413" s="45">
        <v>3597.7</v>
      </c>
      <c r="E413" s="45">
        <v>6130.3</v>
      </c>
      <c r="F413" s="45">
        <v>6130.3</v>
      </c>
      <c r="G413" s="45">
        <v>6130.3</v>
      </c>
      <c r="H413" s="45">
        <v>6130.3</v>
      </c>
      <c r="I413" s="45">
        <v>6130.3</v>
      </c>
    </row>
    <row r="414" spans="1:9" s="9" customFormat="1" ht="21" customHeight="1">
      <c r="A414" s="33"/>
      <c r="B414" s="20"/>
      <c r="C414" s="85"/>
      <c r="D414" s="85"/>
      <c r="E414" s="85"/>
      <c r="F414" s="85"/>
      <c r="G414" s="85"/>
      <c r="H414" s="85"/>
      <c r="I414" s="85"/>
    </row>
    <row r="415" spans="1:9" s="8" customFormat="1" ht="15.75">
      <c r="A415" s="19"/>
      <c r="B415" s="16"/>
      <c r="C415" s="43"/>
      <c r="D415" s="43"/>
      <c r="E415" s="43"/>
      <c r="F415" s="43"/>
      <c r="G415" s="43"/>
      <c r="H415" s="86"/>
      <c r="I415" s="86"/>
    </row>
    <row r="416" ht="15.75">
      <c r="B416" s="16"/>
    </row>
    <row r="417" ht="15.75">
      <c r="B417" s="16"/>
    </row>
    <row r="418" ht="15.75">
      <c r="B418" s="16"/>
    </row>
    <row r="419" ht="15.75">
      <c r="B419" s="16"/>
    </row>
    <row r="420" ht="15.75">
      <c r="B420" s="16"/>
    </row>
    <row r="421" ht="15.75">
      <c r="B421" s="16"/>
    </row>
    <row r="422" ht="15.75">
      <c r="B422" s="16"/>
    </row>
    <row r="423" ht="15.75">
      <c r="B423" s="16"/>
    </row>
    <row r="424" ht="15.75">
      <c r="B424" s="16"/>
    </row>
    <row r="425" ht="15.75">
      <c r="B425" s="16"/>
    </row>
    <row r="426" ht="15.75">
      <c r="B426" s="16"/>
    </row>
    <row r="427" ht="15.75">
      <c r="B427" s="16"/>
    </row>
    <row r="428" ht="15.75">
      <c r="B428" s="16"/>
    </row>
    <row r="429" ht="15.75">
      <c r="B429" s="16"/>
    </row>
    <row r="430" ht="15.75">
      <c r="B430" s="16"/>
    </row>
    <row r="431" ht="15.75">
      <c r="B431" s="16"/>
    </row>
    <row r="432" ht="15.75">
      <c r="B432" s="16"/>
    </row>
    <row r="433" ht="15.75">
      <c r="B433" s="16"/>
    </row>
    <row r="434" ht="15.75">
      <c r="B434" s="16"/>
    </row>
    <row r="435" ht="15.75">
      <c r="B435" s="16"/>
    </row>
    <row r="436" ht="15.75">
      <c r="B436" s="16"/>
    </row>
    <row r="437" ht="15.75">
      <c r="B437" s="16"/>
    </row>
    <row r="438" ht="15.75">
      <c r="B438" s="16"/>
    </row>
    <row r="439" ht="15.75">
      <c r="B439" s="16"/>
    </row>
    <row r="440" ht="15.75">
      <c r="B440" s="16"/>
    </row>
    <row r="441" ht="15.75">
      <c r="B441" s="16"/>
    </row>
    <row r="442" ht="15.75">
      <c r="B442" s="16"/>
    </row>
    <row r="443" ht="15.75">
      <c r="B443" s="16"/>
    </row>
    <row r="444" ht="15.75">
      <c r="B444" s="16"/>
    </row>
    <row r="445" ht="15.75">
      <c r="B445" s="16"/>
    </row>
    <row r="446" ht="15.75">
      <c r="B446" s="16"/>
    </row>
    <row r="447" ht="15.75">
      <c r="B447" s="16"/>
    </row>
    <row r="448" ht="15.75">
      <c r="B448" s="16"/>
    </row>
    <row r="449" ht="15.75">
      <c r="B449" s="16"/>
    </row>
    <row r="450" ht="15.75">
      <c r="B450" s="16"/>
    </row>
    <row r="451" ht="15.75">
      <c r="B451" s="16"/>
    </row>
    <row r="452" ht="15.75">
      <c r="B452" s="16"/>
    </row>
    <row r="453" ht="15.75">
      <c r="B453" s="16"/>
    </row>
    <row r="454" ht="15.75">
      <c r="B454" s="16"/>
    </row>
    <row r="455" ht="15.75">
      <c r="B455" s="16"/>
    </row>
    <row r="456" ht="15.75">
      <c r="B456" s="16"/>
    </row>
    <row r="457" ht="15.75">
      <c r="B457" s="16"/>
    </row>
    <row r="458" ht="15.75">
      <c r="B458" s="16"/>
    </row>
    <row r="459" ht="15.75">
      <c r="B459" s="16"/>
    </row>
    <row r="460" ht="15.75">
      <c r="B460" s="16"/>
    </row>
    <row r="461" ht="15.75">
      <c r="B461" s="16"/>
    </row>
    <row r="462" ht="15.75">
      <c r="B462" s="16"/>
    </row>
    <row r="463" ht="15.75">
      <c r="B463" s="16"/>
    </row>
    <row r="464" ht="15.75">
      <c r="B464" s="16"/>
    </row>
    <row r="465" ht="15.75">
      <c r="B465" s="16"/>
    </row>
    <row r="466" ht="15.75">
      <c r="B466" s="16"/>
    </row>
    <row r="467" ht="15.75">
      <c r="B467" s="16"/>
    </row>
    <row r="468" ht="15.75">
      <c r="B468" s="16"/>
    </row>
    <row r="469" ht="15.75">
      <c r="B469" s="16"/>
    </row>
    <row r="470" ht="15.75">
      <c r="B470" s="16"/>
    </row>
    <row r="471" ht="15.75">
      <c r="B471" s="16"/>
    </row>
    <row r="472" ht="15.75">
      <c r="B472" s="16"/>
    </row>
    <row r="473" ht="15.75">
      <c r="B473" s="16"/>
    </row>
    <row r="474" ht="15.75">
      <c r="B474" s="16"/>
    </row>
    <row r="475" ht="15.75">
      <c r="B475" s="16"/>
    </row>
    <row r="476" ht="15.75">
      <c r="B476" s="16"/>
    </row>
    <row r="477" ht="15.75">
      <c r="B477" s="16"/>
    </row>
    <row r="478" ht="15.75">
      <c r="B478" s="16"/>
    </row>
    <row r="479" ht="15.75">
      <c r="B479" s="16"/>
    </row>
    <row r="480" ht="15.75">
      <c r="B480" s="16"/>
    </row>
    <row r="481" ht="15.75">
      <c r="B481" s="16"/>
    </row>
    <row r="482" ht="15.75">
      <c r="B482" s="16"/>
    </row>
    <row r="483" ht="15.75">
      <c r="B483" s="16"/>
    </row>
    <row r="484" ht="15.75">
      <c r="B484" s="16"/>
    </row>
    <row r="485" ht="15.75">
      <c r="B485" s="16"/>
    </row>
    <row r="486" ht="15.75">
      <c r="B486" s="16"/>
    </row>
    <row r="487" ht="15.75">
      <c r="B487" s="16"/>
    </row>
    <row r="488" ht="15.75">
      <c r="B488" s="16"/>
    </row>
    <row r="489" ht="15.75">
      <c r="B489" s="16"/>
    </row>
    <row r="490" ht="15.75">
      <c r="B490" s="16"/>
    </row>
    <row r="491" ht="15.75">
      <c r="B491" s="16"/>
    </row>
    <row r="492" ht="15.75">
      <c r="B492" s="16"/>
    </row>
    <row r="493" ht="15.75">
      <c r="B493" s="16"/>
    </row>
    <row r="494" ht="15.75">
      <c r="B494" s="16"/>
    </row>
    <row r="495" ht="15.75">
      <c r="B495" s="16"/>
    </row>
    <row r="496" ht="15.75">
      <c r="B496" s="16"/>
    </row>
    <row r="497" ht="15.75">
      <c r="B497" s="16"/>
    </row>
    <row r="498" ht="15.75">
      <c r="B498" s="16"/>
    </row>
    <row r="499" ht="15.75">
      <c r="B499" s="16"/>
    </row>
    <row r="500" ht="15.75">
      <c r="B500" s="16"/>
    </row>
    <row r="501" ht="15.75">
      <c r="B501" s="16"/>
    </row>
    <row r="502" ht="15.75">
      <c r="B502" s="16"/>
    </row>
    <row r="503" ht="15.75">
      <c r="B503" s="16"/>
    </row>
    <row r="504" ht="15.75">
      <c r="B504" s="16"/>
    </row>
    <row r="505" ht="15.75">
      <c r="B505" s="16"/>
    </row>
    <row r="506" ht="15.75">
      <c r="B506" s="16"/>
    </row>
    <row r="507" ht="15.75">
      <c r="B507" s="16"/>
    </row>
    <row r="508" ht="15.75">
      <c r="B508" s="16"/>
    </row>
    <row r="509" ht="15.75">
      <c r="B509" s="16"/>
    </row>
    <row r="510" ht="15.75">
      <c r="B510" s="16"/>
    </row>
    <row r="511" ht="15.75">
      <c r="B511" s="16"/>
    </row>
    <row r="512" ht="15.75">
      <c r="B512" s="16"/>
    </row>
    <row r="513" ht="15.75">
      <c r="B513" s="16"/>
    </row>
    <row r="514" ht="15.75">
      <c r="B514" s="16"/>
    </row>
    <row r="515" ht="15.75">
      <c r="B515" s="16"/>
    </row>
    <row r="516" ht="15.75">
      <c r="B516" s="16"/>
    </row>
    <row r="517" ht="15.75">
      <c r="B517" s="16"/>
    </row>
    <row r="518" ht="15.75">
      <c r="B518" s="16"/>
    </row>
    <row r="519" ht="15.75">
      <c r="B519" s="16"/>
    </row>
    <row r="520" ht="15.75">
      <c r="B520" s="16"/>
    </row>
    <row r="521" ht="15.75">
      <c r="B521" s="16"/>
    </row>
    <row r="522" ht="15.75">
      <c r="B522" s="16"/>
    </row>
    <row r="523" ht="15.75">
      <c r="B523" s="16"/>
    </row>
    <row r="524" ht="15.75">
      <c r="B524" s="16"/>
    </row>
    <row r="525" ht="15.75">
      <c r="B525" s="16"/>
    </row>
    <row r="526" ht="15.75">
      <c r="B526" s="16"/>
    </row>
    <row r="527" ht="15.75">
      <c r="B527" s="16"/>
    </row>
    <row r="528" ht="15.75">
      <c r="B528" s="16"/>
    </row>
    <row r="529" ht="15.75">
      <c r="B529" s="16"/>
    </row>
    <row r="530" ht="15.75">
      <c r="B530" s="16"/>
    </row>
    <row r="531" ht="15.75">
      <c r="B531" s="16"/>
    </row>
    <row r="532" ht="15.75">
      <c r="B532" s="16"/>
    </row>
    <row r="533" ht="15.75">
      <c r="B533" s="16"/>
    </row>
    <row r="534" ht="15.75">
      <c r="B534" s="16"/>
    </row>
    <row r="535" ht="15.75">
      <c r="B535" s="16"/>
    </row>
    <row r="536" ht="15.75">
      <c r="B536" s="16"/>
    </row>
    <row r="537" ht="15.75">
      <c r="B537" s="16"/>
    </row>
    <row r="538" ht="15.75">
      <c r="B538" s="16"/>
    </row>
    <row r="539" ht="15.75">
      <c r="B539" s="16"/>
    </row>
    <row r="540" ht="15.75">
      <c r="B540" s="16"/>
    </row>
    <row r="541" ht="15.75">
      <c r="B541" s="16"/>
    </row>
    <row r="542" ht="15.75">
      <c r="B542" s="16"/>
    </row>
    <row r="543" ht="15.75">
      <c r="B543" s="16"/>
    </row>
    <row r="544" ht="15.75">
      <c r="B544" s="16"/>
    </row>
    <row r="545" ht="15.75">
      <c r="B545" s="16"/>
    </row>
    <row r="546" ht="15.75">
      <c r="B546" s="16"/>
    </row>
    <row r="547" ht="15.75">
      <c r="B547" s="16"/>
    </row>
    <row r="548" ht="15.75">
      <c r="B548" s="16"/>
    </row>
    <row r="549" ht="15.75">
      <c r="B549" s="16"/>
    </row>
    <row r="550" ht="15.75">
      <c r="B550" s="16"/>
    </row>
    <row r="551" ht="15.75">
      <c r="B551" s="16"/>
    </row>
    <row r="552" ht="15.75">
      <c r="B552" s="16"/>
    </row>
    <row r="553" ht="15.75">
      <c r="B553" s="16"/>
    </row>
    <row r="554" ht="15.75">
      <c r="B554" s="16"/>
    </row>
    <row r="555" ht="15.75">
      <c r="B555" s="16"/>
    </row>
    <row r="556" ht="15.75">
      <c r="B556" s="16"/>
    </row>
    <row r="557" ht="15.75">
      <c r="B557" s="16"/>
    </row>
    <row r="558" ht="15.75">
      <c r="B558" s="16"/>
    </row>
    <row r="559" ht="15.75">
      <c r="B559" s="16"/>
    </row>
    <row r="560" ht="15.75">
      <c r="B560" s="16"/>
    </row>
    <row r="561" ht="15.75">
      <c r="B561" s="16"/>
    </row>
    <row r="562" ht="15.75">
      <c r="B562" s="16"/>
    </row>
    <row r="563" ht="15.75">
      <c r="B563" s="16"/>
    </row>
    <row r="564" ht="15.75">
      <c r="B564" s="16"/>
    </row>
    <row r="565" ht="15.75">
      <c r="B565" s="16"/>
    </row>
    <row r="566" ht="15.75">
      <c r="B566" s="16"/>
    </row>
    <row r="567" ht="15.75">
      <c r="B567" s="16"/>
    </row>
    <row r="568" ht="15.75">
      <c r="B568" s="16"/>
    </row>
    <row r="569" ht="15.75">
      <c r="B569" s="16"/>
    </row>
    <row r="570" ht="15.75">
      <c r="B570" s="16"/>
    </row>
    <row r="571" ht="15.75">
      <c r="B571" s="16"/>
    </row>
    <row r="572" ht="15.75">
      <c r="B572" s="16"/>
    </row>
    <row r="573" ht="15.75">
      <c r="B573" s="16"/>
    </row>
    <row r="574" ht="15.75">
      <c r="B574" s="16"/>
    </row>
    <row r="575" ht="15.75">
      <c r="B575" s="16"/>
    </row>
    <row r="576" ht="15.75">
      <c r="B576" s="16"/>
    </row>
    <row r="577" ht="15.75">
      <c r="B577" s="16"/>
    </row>
    <row r="578" ht="15.75">
      <c r="B578" s="16"/>
    </row>
    <row r="579" ht="15.75">
      <c r="B579" s="16"/>
    </row>
    <row r="580" ht="15.75">
      <c r="B580" s="16"/>
    </row>
    <row r="581" ht="15.75">
      <c r="B581" s="16"/>
    </row>
    <row r="582" ht="15.75">
      <c r="B582" s="16"/>
    </row>
    <row r="583" ht="15.75">
      <c r="B583" s="16"/>
    </row>
    <row r="584" ht="15.75">
      <c r="B584" s="16"/>
    </row>
    <row r="585" ht="15.75">
      <c r="B585" s="16"/>
    </row>
    <row r="586" ht="15.75">
      <c r="B586" s="16"/>
    </row>
    <row r="587" ht="15.75">
      <c r="B587" s="16"/>
    </row>
    <row r="588" ht="15.75">
      <c r="B588" s="16"/>
    </row>
    <row r="589" ht="15.75">
      <c r="B589" s="16"/>
    </row>
    <row r="590" ht="15.75">
      <c r="B590" s="16"/>
    </row>
    <row r="591" ht="15.75">
      <c r="B591" s="16"/>
    </row>
    <row r="592" ht="15.75">
      <c r="B592" s="16"/>
    </row>
    <row r="593" ht="15.75">
      <c r="B593" s="16"/>
    </row>
    <row r="594" ht="15.75">
      <c r="B594" s="16"/>
    </row>
    <row r="595" ht="15.75">
      <c r="B595" s="16"/>
    </row>
    <row r="596" ht="15.75">
      <c r="B596" s="16"/>
    </row>
    <row r="597" ht="15.75">
      <c r="B597" s="16"/>
    </row>
    <row r="598" ht="15.75">
      <c r="B598" s="16"/>
    </row>
    <row r="599" ht="15.75">
      <c r="B599" s="16"/>
    </row>
    <row r="600" ht="15.75">
      <c r="B600" s="16"/>
    </row>
    <row r="601" ht="15.75">
      <c r="B601" s="16"/>
    </row>
    <row r="602" ht="15.75">
      <c r="B602" s="16"/>
    </row>
    <row r="603" ht="15.75">
      <c r="B603" s="16"/>
    </row>
    <row r="604" ht="15.75">
      <c r="B604" s="16"/>
    </row>
    <row r="605" ht="15.75">
      <c r="B605" s="16"/>
    </row>
    <row r="606" ht="15.75">
      <c r="B606" s="16"/>
    </row>
    <row r="607" ht="15.75">
      <c r="B607" s="16"/>
    </row>
    <row r="608" ht="15.75">
      <c r="B608" s="16"/>
    </row>
    <row r="609" ht="15.75">
      <c r="B609" s="16"/>
    </row>
    <row r="610" ht="15.75">
      <c r="B610" s="16"/>
    </row>
    <row r="611" ht="15.75">
      <c r="B611" s="16"/>
    </row>
    <row r="612" ht="15.75">
      <c r="B612" s="16"/>
    </row>
    <row r="613" ht="15.75">
      <c r="B613" s="16"/>
    </row>
    <row r="614" ht="15.75">
      <c r="B614" s="16"/>
    </row>
    <row r="615" ht="15.75">
      <c r="B615" s="16"/>
    </row>
    <row r="616" ht="15.75">
      <c r="B616" s="16"/>
    </row>
    <row r="617" ht="15.75">
      <c r="B617" s="16"/>
    </row>
    <row r="618" ht="15.75">
      <c r="B618" s="16"/>
    </row>
    <row r="619" ht="15.75">
      <c r="B619" s="16"/>
    </row>
    <row r="620" ht="15.75">
      <c r="B620" s="16"/>
    </row>
    <row r="621" ht="15.75">
      <c r="B621" s="16"/>
    </row>
    <row r="622" ht="15.75">
      <c r="B622" s="16"/>
    </row>
    <row r="623" ht="15.75">
      <c r="B623" s="16"/>
    </row>
    <row r="624" ht="15.75">
      <c r="B624" s="16"/>
    </row>
    <row r="625" ht="15.75">
      <c r="B625" s="16"/>
    </row>
    <row r="626" ht="15.75">
      <c r="B626" s="16"/>
    </row>
    <row r="627" ht="15.75">
      <c r="B627" s="16"/>
    </row>
    <row r="628" ht="15.75">
      <c r="B628" s="16"/>
    </row>
    <row r="629" ht="15.75">
      <c r="B629" s="16"/>
    </row>
    <row r="630" ht="15.75">
      <c r="B630" s="16"/>
    </row>
    <row r="631" ht="15.75">
      <c r="B631" s="16"/>
    </row>
    <row r="632" ht="15.75">
      <c r="B632" s="16"/>
    </row>
    <row r="633" ht="15.75">
      <c r="B633" s="16"/>
    </row>
    <row r="634" ht="15.75">
      <c r="B634" s="16"/>
    </row>
    <row r="635" ht="15.75">
      <c r="B635" s="16"/>
    </row>
    <row r="636" ht="15.75">
      <c r="B636" s="16"/>
    </row>
    <row r="637" ht="15.75">
      <c r="B637" s="16"/>
    </row>
    <row r="638" ht="15.75">
      <c r="B638" s="16"/>
    </row>
    <row r="639" ht="15.75">
      <c r="B639" s="16"/>
    </row>
    <row r="640" ht="15.75">
      <c r="B640" s="16"/>
    </row>
    <row r="641" ht="15.75">
      <c r="B641" s="16"/>
    </row>
    <row r="642" ht="15.75">
      <c r="B642" s="16"/>
    </row>
    <row r="643" ht="15.75">
      <c r="B643" s="16"/>
    </row>
    <row r="644" ht="15.75">
      <c r="B644" s="16"/>
    </row>
    <row r="645" ht="15.75">
      <c r="B645" s="16"/>
    </row>
    <row r="646" ht="15.75">
      <c r="B646" s="16"/>
    </row>
    <row r="647" ht="15.75">
      <c r="B647" s="16"/>
    </row>
    <row r="648" ht="15.75">
      <c r="B648" s="16"/>
    </row>
    <row r="649" ht="15.75">
      <c r="B649" s="16"/>
    </row>
    <row r="650" ht="15.75">
      <c r="B650" s="16"/>
    </row>
    <row r="651" ht="15.75">
      <c r="B651" s="16"/>
    </row>
    <row r="652" ht="15.75">
      <c r="B652" s="16"/>
    </row>
    <row r="653" ht="15.75">
      <c r="B653" s="16"/>
    </row>
    <row r="654" ht="15.75">
      <c r="B654" s="16"/>
    </row>
    <row r="655" ht="15.75">
      <c r="B655" s="16"/>
    </row>
    <row r="656" ht="15.75">
      <c r="B656" s="16"/>
    </row>
    <row r="657" ht="15.75">
      <c r="B657" s="16"/>
    </row>
    <row r="658" ht="15.75">
      <c r="B658" s="16"/>
    </row>
    <row r="659" ht="15.75">
      <c r="B659" s="16"/>
    </row>
    <row r="660" ht="15.75">
      <c r="B660" s="16"/>
    </row>
    <row r="661" ht="15.75">
      <c r="B661" s="16"/>
    </row>
    <row r="662" ht="15.75">
      <c r="B662" s="16"/>
    </row>
    <row r="663" ht="15.75">
      <c r="B663" s="16"/>
    </row>
    <row r="664" ht="15.75">
      <c r="B664" s="16"/>
    </row>
    <row r="665" ht="15.75">
      <c r="B665" s="16"/>
    </row>
    <row r="666" ht="15.75">
      <c r="B666" s="16"/>
    </row>
    <row r="667" ht="15.75">
      <c r="B667" s="16"/>
    </row>
    <row r="668" ht="15.75">
      <c r="B668" s="16"/>
    </row>
    <row r="669" ht="15.75">
      <c r="B669" s="16"/>
    </row>
    <row r="670" ht="15.75">
      <c r="B670" s="16"/>
    </row>
    <row r="671" ht="15.75">
      <c r="B671" s="16"/>
    </row>
    <row r="672" ht="15.75">
      <c r="B672" s="16"/>
    </row>
    <row r="673" ht="15.75">
      <c r="B673" s="16"/>
    </row>
    <row r="674" ht="15.75">
      <c r="B674" s="16"/>
    </row>
    <row r="675" ht="15.75">
      <c r="B675" s="16"/>
    </row>
    <row r="676" ht="15.75">
      <c r="B676" s="16"/>
    </row>
    <row r="677" ht="15.75">
      <c r="B677" s="16"/>
    </row>
    <row r="678" ht="15.75">
      <c r="B678" s="16"/>
    </row>
    <row r="679" ht="15.75">
      <c r="B679" s="16"/>
    </row>
    <row r="680" ht="15.75">
      <c r="B680" s="16"/>
    </row>
    <row r="681" ht="15.75">
      <c r="B681" s="16"/>
    </row>
    <row r="682" ht="15.75">
      <c r="B682" s="16"/>
    </row>
    <row r="683" ht="15.75">
      <c r="B683" s="16"/>
    </row>
    <row r="684" ht="15.75">
      <c r="B684" s="16"/>
    </row>
    <row r="685" ht="15.75">
      <c r="B685" s="16"/>
    </row>
    <row r="686" ht="15.75">
      <c r="B686" s="16"/>
    </row>
    <row r="687" ht="15.75">
      <c r="B687" s="16"/>
    </row>
    <row r="688" ht="15.75">
      <c r="B688" s="16"/>
    </row>
    <row r="689" ht="15.75">
      <c r="B689" s="16"/>
    </row>
    <row r="690" ht="15.75">
      <c r="B690" s="16"/>
    </row>
    <row r="691" ht="15.75">
      <c r="B691" s="16"/>
    </row>
    <row r="692" ht="15.75">
      <c r="B692" s="16"/>
    </row>
    <row r="693" ht="15.75">
      <c r="B693" s="16"/>
    </row>
    <row r="694" ht="15.75">
      <c r="B694" s="16"/>
    </row>
    <row r="695" ht="15.75">
      <c r="B695" s="16"/>
    </row>
    <row r="696" ht="15.75">
      <c r="B696" s="16"/>
    </row>
    <row r="697" ht="15.75">
      <c r="B697" s="16"/>
    </row>
    <row r="698" ht="15.75">
      <c r="B698" s="16"/>
    </row>
    <row r="699" ht="15.75">
      <c r="B699" s="16"/>
    </row>
    <row r="700" ht="15.75">
      <c r="B700" s="16"/>
    </row>
    <row r="701" ht="15.75">
      <c r="B701" s="16"/>
    </row>
    <row r="702" ht="15.75">
      <c r="B702" s="16"/>
    </row>
    <row r="703" ht="15.75">
      <c r="B703" s="16"/>
    </row>
    <row r="704" ht="15.75">
      <c r="B704" s="16"/>
    </row>
    <row r="705" ht="15.75">
      <c r="B705" s="16"/>
    </row>
    <row r="706" ht="15.75">
      <c r="B706" s="16"/>
    </row>
    <row r="707" ht="15.75">
      <c r="B707" s="16"/>
    </row>
    <row r="708" ht="15.75">
      <c r="B708" s="16"/>
    </row>
    <row r="709" ht="15.75">
      <c r="B709" s="16"/>
    </row>
    <row r="710" ht="15.75">
      <c r="B710" s="16"/>
    </row>
    <row r="711" ht="15.75">
      <c r="B711" s="16"/>
    </row>
    <row r="712" ht="15.75">
      <c r="B712" s="16"/>
    </row>
    <row r="713" ht="15.75">
      <c r="B713" s="16"/>
    </row>
    <row r="714" ht="15.75">
      <c r="B714" s="16"/>
    </row>
    <row r="715" ht="15.75">
      <c r="B715" s="16"/>
    </row>
    <row r="716" ht="15.75">
      <c r="B716" s="16"/>
    </row>
    <row r="717" ht="15.75">
      <c r="B717" s="16"/>
    </row>
    <row r="718" ht="15.75">
      <c r="B718" s="16"/>
    </row>
    <row r="719" ht="15.75">
      <c r="B719" s="16"/>
    </row>
    <row r="720" ht="15.75">
      <c r="B720" s="16"/>
    </row>
    <row r="721" ht="15.75">
      <c r="B721" s="16"/>
    </row>
    <row r="722" ht="15.75">
      <c r="B722" s="16"/>
    </row>
    <row r="723" ht="15.75">
      <c r="B723" s="16"/>
    </row>
    <row r="724" ht="15.75">
      <c r="B724" s="16"/>
    </row>
    <row r="725" ht="15.75">
      <c r="B725" s="16"/>
    </row>
    <row r="726" ht="15.75">
      <c r="B726" s="16"/>
    </row>
    <row r="727" ht="15.75">
      <c r="B727" s="16"/>
    </row>
    <row r="728" ht="15.75">
      <c r="B728" s="16"/>
    </row>
    <row r="729" ht="15.75">
      <c r="B729" s="16"/>
    </row>
    <row r="730" ht="15.75">
      <c r="B730" s="16"/>
    </row>
    <row r="731" ht="15.75">
      <c r="B731" s="16"/>
    </row>
    <row r="732" ht="15.75">
      <c r="B732" s="16"/>
    </row>
    <row r="733" ht="15.75">
      <c r="B733" s="16"/>
    </row>
    <row r="734" ht="15.75">
      <c r="B734" s="16"/>
    </row>
    <row r="735" ht="15.75">
      <c r="B735" s="16"/>
    </row>
    <row r="736" ht="15.75">
      <c r="B736" s="16"/>
    </row>
    <row r="737" ht="15.75">
      <c r="B737" s="16"/>
    </row>
    <row r="738" ht="15.75">
      <c r="B738" s="16"/>
    </row>
    <row r="739" ht="15.75">
      <c r="B739" s="16"/>
    </row>
    <row r="740" ht="15.75">
      <c r="B740" s="16"/>
    </row>
    <row r="741" ht="15.75">
      <c r="B741" s="16"/>
    </row>
    <row r="742" ht="15.75">
      <c r="B742" s="16"/>
    </row>
    <row r="743" ht="15.75">
      <c r="B743" s="16"/>
    </row>
    <row r="744" ht="15.75">
      <c r="B744" s="16"/>
    </row>
    <row r="745" ht="15.75">
      <c r="B745" s="16"/>
    </row>
    <row r="746" ht="15.75">
      <c r="B746" s="16"/>
    </row>
    <row r="747" ht="15.75">
      <c r="B747" s="16"/>
    </row>
    <row r="748" ht="15.75">
      <c r="B748" s="16"/>
    </row>
    <row r="749" ht="15.75">
      <c r="B749" s="16"/>
    </row>
    <row r="750" ht="15.75">
      <c r="B750" s="16"/>
    </row>
    <row r="751" ht="15.75">
      <c r="B751" s="16"/>
    </row>
    <row r="752" ht="15.75">
      <c r="B752" s="16"/>
    </row>
    <row r="753" ht="15.75">
      <c r="B753" s="16"/>
    </row>
    <row r="754" ht="15.75">
      <c r="B754" s="16"/>
    </row>
    <row r="755" ht="15.75">
      <c r="B755" s="16"/>
    </row>
    <row r="756" ht="15.75">
      <c r="B756" s="16"/>
    </row>
    <row r="757" ht="15.75">
      <c r="B757" s="16"/>
    </row>
    <row r="758" ht="15.75">
      <c r="B758" s="16"/>
    </row>
    <row r="759" ht="15.75">
      <c r="B759" s="16"/>
    </row>
    <row r="760" ht="15.75">
      <c r="B760" s="16"/>
    </row>
    <row r="761" ht="15.75">
      <c r="B761" s="16"/>
    </row>
    <row r="762" ht="15.75">
      <c r="B762" s="16"/>
    </row>
    <row r="763" ht="15.75">
      <c r="B763" s="16"/>
    </row>
    <row r="764" ht="15.75">
      <c r="B764" s="16"/>
    </row>
    <row r="765" ht="15.75">
      <c r="B765" s="16"/>
    </row>
    <row r="766" ht="15.75">
      <c r="B766" s="16"/>
    </row>
    <row r="767" ht="15.75">
      <c r="B767" s="16"/>
    </row>
    <row r="768" ht="15.75">
      <c r="B768" s="16"/>
    </row>
    <row r="769" ht="15.75">
      <c r="B769" s="16"/>
    </row>
    <row r="770" ht="15.75">
      <c r="B770" s="16"/>
    </row>
    <row r="771" ht="15.75">
      <c r="B771" s="16"/>
    </row>
    <row r="772" ht="15.75">
      <c r="B772" s="16"/>
    </row>
    <row r="773" ht="15.75">
      <c r="B773" s="16"/>
    </row>
    <row r="774" ht="15.75">
      <c r="B774" s="16"/>
    </row>
    <row r="775" ht="15.75">
      <c r="B775" s="16"/>
    </row>
    <row r="776" ht="15.75">
      <c r="B776" s="16"/>
    </row>
    <row r="777" ht="15.75">
      <c r="B777" s="16"/>
    </row>
    <row r="778" ht="15.75">
      <c r="B778" s="16"/>
    </row>
    <row r="779" ht="15.75">
      <c r="B779" s="16"/>
    </row>
    <row r="780" ht="15.75">
      <c r="B780" s="16"/>
    </row>
    <row r="781" ht="15.75">
      <c r="B781" s="16"/>
    </row>
    <row r="782" ht="15.75">
      <c r="B782" s="16"/>
    </row>
    <row r="783" ht="15.75">
      <c r="B783" s="16"/>
    </row>
    <row r="784" ht="15.75">
      <c r="B784" s="16"/>
    </row>
    <row r="785" ht="15.75">
      <c r="B785" s="16"/>
    </row>
    <row r="786" ht="15.75">
      <c r="B786" s="16"/>
    </row>
    <row r="787" ht="15.75">
      <c r="B787" s="16"/>
    </row>
    <row r="788" ht="15.75">
      <c r="B788" s="16"/>
    </row>
    <row r="789" ht="15.75">
      <c r="B789" s="16"/>
    </row>
    <row r="790" ht="15.75">
      <c r="B790" s="16"/>
    </row>
    <row r="791" ht="15.75">
      <c r="B791" s="16"/>
    </row>
    <row r="792" ht="15.75">
      <c r="B792" s="16"/>
    </row>
    <row r="793" ht="15.75">
      <c r="B793" s="16"/>
    </row>
    <row r="794" ht="15.75">
      <c r="B794" s="16"/>
    </row>
    <row r="795" ht="15.75">
      <c r="B795" s="16"/>
    </row>
    <row r="796" ht="15.75">
      <c r="B796" s="16"/>
    </row>
    <row r="797" ht="15.75">
      <c r="B797" s="16"/>
    </row>
    <row r="798" ht="15.75">
      <c r="B798" s="16"/>
    </row>
    <row r="799" ht="15.75">
      <c r="B799" s="16"/>
    </row>
    <row r="800" ht="15.75">
      <c r="B800" s="16"/>
    </row>
    <row r="801" ht="15.75">
      <c r="B801" s="16"/>
    </row>
    <row r="802" ht="15.75">
      <c r="B802" s="16"/>
    </row>
    <row r="803" ht="15.75">
      <c r="B803" s="16"/>
    </row>
    <row r="804" ht="15.75">
      <c r="B804" s="16"/>
    </row>
    <row r="805" ht="15.75">
      <c r="B805" s="16"/>
    </row>
    <row r="806" ht="15.75">
      <c r="B806" s="16"/>
    </row>
    <row r="807" ht="15.75">
      <c r="B807" s="16"/>
    </row>
    <row r="808" ht="15.75">
      <c r="B808" s="16"/>
    </row>
    <row r="809" ht="15.75">
      <c r="B809" s="16"/>
    </row>
    <row r="810" ht="15.75">
      <c r="B810" s="16"/>
    </row>
    <row r="811" ht="15.75">
      <c r="B811" s="16"/>
    </row>
    <row r="812" ht="15.75">
      <c r="B812" s="16"/>
    </row>
    <row r="813" ht="15.75">
      <c r="B813" s="16"/>
    </row>
    <row r="814" ht="15.75">
      <c r="B814" s="16"/>
    </row>
    <row r="815" ht="15.75">
      <c r="B815" s="16"/>
    </row>
    <row r="816" ht="15.75">
      <c r="B816" s="16"/>
    </row>
    <row r="817" ht="15.75">
      <c r="B817" s="16"/>
    </row>
    <row r="818" ht="15.75">
      <c r="B818" s="16"/>
    </row>
    <row r="819" ht="15.75">
      <c r="B819" s="16"/>
    </row>
    <row r="820" ht="15.75">
      <c r="B820" s="16"/>
    </row>
    <row r="821" ht="15.75">
      <c r="B821" s="16"/>
    </row>
    <row r="822" ht="15.75">
      <c r="B822" s="16"/>
    </row>
    <row r="823" ht="15.75">
      <c r="B823" s="16"/>
    </row>
    <row r="824" ht="15.75">
      <c r="B824" s="16"/>
    </row>
    <row r="825" ht="15.75">
      <c r="B825" s="16"/>
    </row>
    <row r="826" ht="15.75">
      <c r="B826" s="16"/>
    </row>
    <row r="827" ht="15.75">
      <c r="B827" s="16"/>
    </row>
    <row r="828" ht="15.75">
      <c r="B828" s="16"/>
    </row>
    <row r="829" ht="15.75">
      <c r="B829" s="16"/>
    </row>
    <row r="830" ht="15.75">
      <c r="B830" s="16"/>
    </row>
    <row r="831" ht="15.75">
      <c r="B831" s="16"/>
    </row>
    <row r="832" ht="15.75">
      <c r="B832" s="16"/>
    </row>
    <row r="833" ht="15.75">
      <c r="B833" s="16"/>
    </row>
    <row r="834" ht="15.75">
      <c r="B834" s="16"/>
    </row>
    <row r="835" ht="15.75">
      <c r="B835" s="16"/>
    </row>
    <row r="836" ht="15.75">
      <c r="B836" s="16"/>
    </row>
    <row r="837" ht="15.75">
      <c r="B837" s="16"/>
    </row>
    <row r="838" ht="15.75">
      <c r="B838" s="16"/>
    </row>
    <row r="839" ht="15.75">
      <c r="B839" s="16"/>
    </row>
    <row r="840" ht="15.75">
      <c r="B840" s="16"/>
    </row>
    <row r="841" ht="15.75">
      <c r="B841" s="16"/>
    </row>
    <row r="842" ht="15.75">
      <c r="B842" s="16"/>
    </row>
    <row r="843" ht="15.75">
      <c r="B843" s="16"/>
    </row>
    <row r="844" ht="15.75">
      <c r="B844" s="16"/>
    </row>
    <row r="845" ht="15.75">
      <c r="B845" s="16"/>
    </row>
    <row r="846" ht="15.75">
      <c r="B846" s="16"/>
    </row>
    <row r="847" ht="15.75">
      <c r="B847" s="16"/>
    </row>
    <row r="848" ht="15.75">
      <c r="B848" s="16"/>
    </row>
    <row r="849" ht="15.75">
      <c r="B849" s="16"/>
    </row>
    <row r="850" ht="15.75">
      <c r="B850" s="16"/>
    </row>
    <row r="851" ht="15.75">
      <c r="B851" s="16"/>
    </row>
    <row r="852" ht="15.75">
      <c r="B852" s="16"/>
    </row>
    <row r="853" ht="15.75">
      <c r="B853" s="16"/>
    </row>
    <row r="854" ht="15.75">
      <c r="B854" s="16"/>
    </row>
    <row r="855" ht="15.75">
      <c r="B855" s="16"/>
    </row>
    <row r="856" ht="15.75">
      <c r="B856" s="16"/>
    </row>
    <row r="857" ht="15.75">
      <c r="B857" s="16"/>
    </row>
    <row r="858" ht="15.75">
      <c r="B858" s="16"/>
    </row>
    <row r="859" ht="15.75">
      <c r="B859" s="16"/>
    </row>
    <row r="860" ht="15.75">
      <c r="B860" s="16"/>
    </row>
    <row r="861" ht="15.75">
      <c r="B861" s="16"/>
    </row>
    <row r="862" ht="15.75">
      <c r="B862" s="16"/>
    </row>
    <row r="863" ht="15.75">
      <c r="B863" s="16"/>
    </row>
    <row r="864" ht="15.75">
      <c r="B864" s="16"/>
    </row>
    <row r="865" ht="15.75">
      <c r="B865" s="16"/>
    </row>
    <row r="866" ht="15.75">
      <c r="B866" s="16"/>
    </row>
    <row r="867" ht="15.75">
      <c r="B867" s="16"/>
    </row>
    <row r="868" ht="15.75">
      <c r="B868" s="16"/>
    </row>
    <row r="869" ht="15.75">
      <c r="B869" s="16"/>
    </row>
    <row r="870" ht="15.75">
      <c r="B870" s="16"/>
    </row>
    <row r="871" ht="15.75">
      <c r="B871" s="16"/>
    </row>
    <row r="872" ht="15.75">
      <c r="B872" s="16"/>
    </row>
    <row r="873" ht="15.75">
      <c r="B873" s="16"/>
    </row>
    <row r="874" ht="15.75">
      <c r="B874" s="16"/>
    </row>
    <row r="875" ht="15.75">
      <c r="B875" s="16"/>
    </row>
    <row r="876" ht="15.75">
      <c r="B876" s="16"/>
    </row>
    <row r="877" ht="15.75">
      <c r="B877" s="16"/>
    </row>
    <row r="878" ht="15.75">
      <c r="B878" s="16"/>
    </row>
    <row r="879" ht="15.75">
      <c r="B879" s="16"/>
    </row>
    <row r="880" ht="15.75">
      <c r="B880" s="16"/>
    </row>
    <row r="881" ht="15.75">
      <c r="B881" s="16"/>
    </row>
    <row r="882" ht="15.75">
      <c r="B882" s="16"/>
    </row>
    <row r="883" ht="15.75">
      <c r="B883" s="16"/>
    </row>
    <row r="884" ht="15.75">
      <c r="B884" s="16"/>
    </row>
    <row r="885" ht="15.75">
      <c r="B885" s="16"/>
    </row>
    <row r="886" ht="15.75">
      <c r="B886" s="16"/>
    </row>
    <row r="887" ht="15.75">
      <c r="B887" s="16"/>
    </row>
    <row r="888" ht="15.75">
      <c r="B888" s="16"/>
    </row>
    <row r="889" ht="15.75">
      <c r="B889" s="16"/>
    </row>
    <row r="890" ht="15.75">
      <c r="B890" s="16"/>
    </row>
    <row r="891" ht="15.75">
      <c r="B891" s="16"/>
    </row>
    <row r="892" ht="15.75">
      <c r="B892" s="16"/>
    </row>
    <row r="893" ht="15.75">
      <c r="B893" s="16"/>
    </row>
    <row r="894" ht="15.75">
      <c r="B894" s="16"/>
    </row>
    <row r="895" ht="15.75">
      <c r="B895" s="16"/>
    </row>
    <row r="896" ht="15.75">
      <c r="B896" s="16"/>
    </row>
    <row r="897" ht="15.75">
      <c r="B897" s="16"/>
    </row>
    <row r="898" ht="15.75">
      <c r="B898" s="16"/>
    </row>
    <row r="899" ht="15.75">
      <c r="B899" s="16"/>
    </row>
    <row r="900" ht="15.75">
      <c r="B900" s="16"/>
    </row>
    <row r="901" ht="15.75">
      <c r="B901" s="16"/>
    </row>
    <row r="902" ht="15.75">
      <c r="B902" s="16"/>
    </row>
    <row r="903" ht="15.75">
      <c r="B903" s="16"/>
    </row>
    <row r="904" ht="15.75">
      <c r="B904" s="16"/>
    </row>
    <row r="905" ht="15.75">
      <c r="B905" s="16"/>
    </row>
    <row r="906" ht="15.75">
      <c r="B906" s="16"/>
    </row>
    <row r="907" ht="15.75">
      <c r="B907" s="16"/>
    </row>
    <row r="908" ht="15.75">
      <c r="B908" s="16"/>
    </row>
    <row r="909" ht="15.75">
      <c r="B909" s="16"/>
    </row>
    <row r="910" ht="15.75">
      <c r="B910" s="16"/>
    </row>
    <row r="911" ht="15.75">
      <c r="B911" s="16"/>
    </row>
    <row r="912" ht="15.75">
      <c r="B912" s="16"/>
    </row>
    <row r="913" ht="15.75">
      <c r="B913" s="16"/>
    </row>
    <row r="914" ht="15.75">
      <c r="B914" s="16"/>
    </row>
    <row r="915" ht="15.75">
      <c r="B915" s="16"/>
    </row>
    <row r="916" ht="15.75">
      <c r="B916" s="16"/>
    </row>
    <row r="917" ht="15.75">
      <c r="B917" s="16"/>
    </row>
    <row r="918" ht="15.75">
      <c r="B918" s="16"/>
    </row>
    <row r="919" ht="15.75">
      <c r="B919" s="16"/>
    </row>
    <row r="920" ht="15.75">
      <c r="B920" s="16"/>
    </row>
    <row r="921" ht="15.75">
      <c r="B921" s="16"/>
    </row>
    <row r="922" ht="15.75">
      <c r="B922" s="16"/>
    </row>
    <row r="923" ht="15.75">
      <c r="B923" s="16"/>
    </row>
    <row r="924" ht="15.75">
      <c r="B924" s="16"/>
    </row>
    <row r="925" ht="15.75">
      <c r="B925" s="16"/>
    </row>
    <row r="926" ht="15.75">
      <c r="B926" s="16"/>
    </row>
    <row r="927" ht="15.75">
      <c r="B927" s="16"/>
    </row>
    <row r="928" ht="15.75">
      <c r="B928" s="16"/>
    </row>
    <row r="929" ht="15.75">
      <c r="B929" s="16"/>
    </row>
    <row r="930" ht="15.75">
      <c r="B930" s="16"/>
    </row>
    <row r="931" ht="15.75">
      <c r="B931" s="16"/>
    </row>
    <row r="932" ht="15.75">
      <c r="B932" s="16"/>
    </row>
    <row r="933" ht="15.75">
      <c r="B933" s="16"/>
    </row>
    <row r="934" ht="15.75">
      <c r="B934" s="16"/>
    </row>
    <row r="935" ht="15.75">
      <c r="B935" s="16"/>
    </row>
    <row r="936" ht="15.75">
      <c r="B936" s="16"/>
    </row>
    <row r="937" ht="15.75">
      <c r="B937" s="16"/>
    </row>
    <row r="938" ht="15.75">
      <c r="B938" s="16"/>
    </row>
    <row r="939" ht="15.75">
      <c r="B939" s="16"/>
    </row>
    <row r="940" ht="15.75">
      <c r="B940" s="16"/>
    </row>
    <row r="941" ht="15.75">
      <c r="B941" s="16"/>
    </row>
    <row r="942" ht="15.75">
      <c r="B942" s="16"/>
    </row>
    <row r="943" ht="15.75">
      <c r="B943" s="16"/>
    </row>
    <row r="944" ht="15.75">
      <c r="B944" s="16"/>
    </row>
    <row r="945" ht="15.75">
      <c r="B945" s="16"/>
    </row>
    <row r="946" ht="15.75">
      <c r="B946" s="16"/>
    </row>
    <row r="947" ht="15.75">
      <c r="B947" s="16"/>
    </row>
    <row r="948" ht="15.75">
      <c r="B948" s="16"/>
    </row>
    <row r="949" ht="15.75">
      <c r="B949" s="16"/>
    </row>
    <row r="950" ht="15.75">
      <c r="B950" s="16"/>
    </row>
    <row r="951" ht="15.75">
      <c r="B951" s="16"/>
    </row>
    <row r="952" ht="15.75">
      <c r="B952" s="16"/>
    </row>
    <row r="953" ht="15.75">
      <c r="B953" s="16"/>
    </row>
    <row r="954" ht="15.75">
      <c r="B954" s="16"/>
    </row>
    <row r="955" ht="15.75">
      <c r="B955" s="16"/>
    </row>
    <row r="956" ht="15.75">
      <c r="B956" s="16"/>
    </row>
    <row r="957" ht="15.75">
      <c r="B957" s="16"/>
    </row>
    <row r="958" ht="15.75">
      <c r="B958" s="16"/>
    </row>
    <row r="959" ht="15.75">
      <c r="B959" s="16"/>
    </row>
    <row r="960" ht="15.75">
      <c r="B960" s="16"/>
    </row>
    <row r="961" ht="15.75">
      <c r="B961" s="16"/>
    </row>
    <row r="962" ht="15.75">
      <c r="B962" s="16"/>
    </row>
    <row r="963" ht="15.75">
      <c r="B963" s="16"/>
    </row>
    <row r="964" ht="15.75">
      <c r="B964" s="16"/>
    </row>
    <row r="965" ht="15.75">
      <c r="B965" s="16"/>
    </row>
    <row r="966" ht="15.75">
      <c r="B966" s="16"/>
    </row>
    <row r="967" ht="15.75">
      <c r="B967" s="16"/>
    </row>
    <row r="968" ht="15.75">
      <c r="B968" s="16"/>
    </row>
    <row r="969" ht="15.75">
      <c r="B969" s="16"/>
    </row>
    <row r="970" ht="15.75">
      <c r="B970" s="16"/>
    </row>
    <row r="971" ht="15.75">
      <c r="B971" s="16"/>
    </row>
    <row r="972" ht="15.75">
      <c r="B972" s="16"/>
    </row>
    <row r="973" ht="15.75">
      <c r="B973" s="16"/>
    </row>
    <row r="974" ht="15.75">
      <c r="B974" s="16"/>
    </row>
    <row r="975" ht="15.75">
      <c r="B975" s="16"/>
    </row>
    <row r="976" ht="15.75">
      <c r="B976" s="16"/>
    </row>
    <row r="977" ht="15.75">
      <c r="B977" s="16"/>
    </row>
    <row r="978" ht="15.75">
      <c r="B978" s="16"/>
    </row>
    <row r="979" ht="15.75">
      <c r="B979" s="16"/>
    </row>
    <row r="980" ht="15.75">
      <c r="B980" s="16"/>
    </row>
    <row r="981" ht="15.75">
      <c r="B981" s="16"/>
    </row>
    <row r="982" ht="15.75">
      <c r="B982" s="16"/>
    </row>
    <row r="983" ht="15.75">
      <c r="B983" s="16"/>
    </row>
    <row r="984" ht="15.75">
      <c r="B984" s="16"/>
    </row>
    <row r="985" ht="15.75">
      <c r="B985" s="16"/>
    </row>
    <row r="986" ht="15.75">
      <c r="B986" s="16"/>
    </row>
    <row r="987" ht="15.75">
      <c r="B987" s="16"/>
    </row>
    <row r="988" ht="15.75">
      <c r="B988" s="16"/>
    </row>
    <row r="989" ht="15.75">
      <c r="B989" s="16"/>
    </row>
    <row r="990" ht="15.75">
      <c r="B990" s="16"/>
    </row>
    <row r="991" ht="15.75">
      <c r="B991" s="16"/>
    </row>
    <row r="992" ht="15.75">
      <c r="B992" s="16"/>
    </row>
    <row r="993" ht="15.75">
      <c r="B993" s="16"/>
    </row>
    <row r="994" ht="15.75">
      <c r="B994" s="16"/>
    </row>
    <row r="995" ht="15.75">
      <c r="B995" s="16"/>
    </row>
    <row r="996" ht="15.75">
      <c r="B996" s="16"/>
    </row>
    <row r="997" ht="15.75">
      <c r="B997" s="16"/>
    </row>
    <row r="998" ht="15.75">
      <c r="B998" s="16"/>
    </row>
    <row r="999" ht="15.75">
      <c r="B999" s="16"/>
    </row>
    <row r="1000" ht="15.75">
      <c r="B1000" s="16"/>
    </row>
    <row r="1001" ht="15.75">
      <c r="B1001" s="16"/>
    </row>
    <row r="1002" ht="15.75">
      <c r="B1002" s="16"/>
    </row>
    <row r="1003" ht="15.75">
      <c r="B1003" s="16"/>
    </row>
    <row r="1004" ht="15.75">
      <c r="B1004" s="16"/>
    </row>
    <row r="1005" ht="15.75">
      <c r="B1005" s="16"/>
    </row>
    <row r="1006" ht="15.75">
      <c r="B1006" s="16"/>
    </row>
    <row r="1007" ht="15.75">
      <c r="B1007" s="16"/>
    </row>
    <row r="1008" ht="15.75">
      <c r="B1008" s="16"/>
    </row>
    <row r="1009" ht="15.75">
      <c r="B1009" s="16"/>
    </row>
    <row r="1010" ht="15.75">
      <c r="B1010" s="16"/>
    </row>
    <row r="1011" ht="15.75">
      <c r="B1011" s="16"/>
    </row>
    <row r="1012" ht="15.75">
      <c r="B1012" s="16"/>
    </row>
    <row r="1013" ht="15.75">
      <c r="B1013" s="16"/>
    </row>
    <row r="1014" ht="15.75">
      <c r="B1014" s="16"/>
    </row>
    <row r="1015" ht="15.75">
      <c r="B1015" s="16"/>
    </row>
    <row r="1016" ht="15.75">
      <c r="B1016" s="16"/>
    </row>
    <row r="1017" ht="15.75">
      <c r="B1017" s="16"/>
    </row>
    <row r="1018" ht="15.75">
      <c r="B1018" s="16"/>
    </row>
    <row r="1019" ht="15.75">
      <c r="B1019" s="16"/>
    </row>
    <row r="1020" ht="15.75">
      <c r="B1020" s="16"/>
    </row>
    <row r="1021" ht="15.75">
      <c r="B1021" s="16"/>
    </row>
    <row r="1022" ht="15.75">
      <c r="B1022" s="16"/>
    </row>
    <row r="1023" ht="15.75">
      <c r="B1023" s="16"/>
    </row>
    <row r="1024" ht="15.75">
      <c r="B1024" s="16"/>
    </row>
    <row r="1025" ht="15.75">
      <c r="B1025" s="16"/>
    </row>
    <row r="1026" ht="15.75">
      <c r="B1026" s="16"/>
    </row>
    <row r="1027" ht="15.75">
      <c r="B1027" s="16"/>
    </row>
    <row r="1028" ht="15.75">
      <c r="B1028" s="16"/>
    </row>
    <row r="1029" ht="15.75">
      <c r="B1029" s="16"/>
    </row>
    <row r="1030" ht="15.75">
      <c r="B1030" s="16"/>
    </row>
    <row r="1031" ht="15.75">
      <c r="B1031" s="16"/>
    </row>
    <row r="1032" ht="15.75">
      <c r="B1032" s="16"/>
    </row>
    <row r="1033" ht="15.75">
      <c r="B1033" s="16"/>
    </row>
    <row r="1034" ht="15.75">
      <c r="B1034" s="16"/>
    </row>
    <row r="1035" ht="15.75">
      <c r="B1035" s="16"/>
    </row>
    <row r="1036" ht="15.75">
      <c r="B1036" s="16"/>
    </row>
    <row r="1037" ht="15.75">
      <c r="B1037" s="16"/>
    </row>
    <row r="1038" ht="15.75">
      <c r="B1038" s="16"/>
    </row>
    <row r="1039" ht="15.75">
      <c r="B1039" s="16"/>
    </row>
    <row r="1040" ht="15.75">
      <c r="B1040" s="16"/>
    </row>
    <row r="1041" ht="15.75">
      <c r="B1041" s="16"/>
    </row>
    <row r="1042" ht="15.75">
      <c r="B1042" s="16"/>
    </row>
    <row r="1043" ht="15.75">
      <c r="B1043" s="16"/>
    </row>
    <row r="1044" ht="15.75">
      <c r="B1044" s="16"/>
    </row>
    <row r="1045" ht="15.75">
      <c r="B1045" s="16"/>
    </row>
    <row r="1046" ht="15.75">
      <c r="B1046" s="16"/>
    </row>
    <row r="1047" ht="15.75">
      <c r="B1047" s="16"/>
    </row>
    <row r="1048" ht="15.75">
      <c r="B1048" s="16"/>
    </row>
    <row r="1049" ht="15.75">
      <c r="B1049" s="16"/>
    </row>
    <row r="1050" ht="15.75">
      <c r="B1050" s="16"/>
    </row>
    <row r="1051" ht="15.75">
      <c r="B1051" s="16"/>
    </row>
    <row r="1052" ht="15.75">
      <c r="B1052" s="16"/>
    </row>
    <row r="1053" ht="15.75">
      <c r="B1053" s="16"/>
    </row>
    <row r="1054" ht="15.75">
      <c r="B1054" s="16"/>
    </row>
    <row r="1055" ht="15.75">
      <c r="B1055" s="16"/>
    </row>
    <row r="1056" ht="15.75">
      <c r="B1056" s="16"/>
    </row>
    <row r="1057" ht="15.75">
      <c r="B1057" s="16"/>
    </row>
    <row r="1058" ht="15.75">
      <c r="B1058" s="16"/>
    </row>
    <row r="1059" ht="15.75">
      <c r="B1059" s="16"/>
    </row>
    <row r="1060" ht="15.75">
      <c r="B1060" s="16"/>
    </row>
    <row r="1061" ht="15.75">
      <c r="B1061" s="16"/>
    </row>
    <row r="1062" ht="15.75">
      <c r="B1062" s="16"/>
    </row>
    <row r="1063" ht="15.75">
      <c r="B1063" s="16"/>
    </row>
    <row r="1064" ht="15.75">
      <c r="B1064" s="16"/>
    </row>
    <row r="1065" ht="15.75">
      <c r="B1065" s="16"/>
    </row>
    <row r="1066" ht="15.75">
      <c r="B1066" s="16"/>
    </row>
    <row r="1067" ht="15.75">
      <c r="B1067" s="16"/>
    </row>
    <row r="1068" ht="15.75">
      <c r="B1068" s="16"/>
    </row>
    <row r="1069" ht="15.75">
      <c r="B1069" s="16"/>
    </row>
    <row r="1070" ht="15.75">
      <c r="B1070" s="16"/>
    </row>
    <row r="1071" ht="15.75">
      <c r="B1071" s="16"/>
    </row>
    <row r="1072" ht="15.75">
      <c r="B1072" s="16"/>
    </row>
    <row r="1073" ht="15.75">
      <c r="B1073" s="16"/>
    </row>
    <row r="1074" ht="15.75">
      <c r="B1074" s="16"/>
    </row>
    <row r="1075" ht="15.75">
      <c r="B1075" s="16"/>
    </row>
    <row r="1076" ht="15.75">
      <c r="B1076" s="16"/>
    </row>
    <row r="1077" ht="15.75">
      <c r="B1077" s="16"/>
    </row>
    <row r="1078" ht="15.75">
      <c r="B1078" s="16"/>
    </row>
    <row r="1079" ht="15.75">
      <c r="B1079" s="16"/>
    </row>
    <row r="1080" ht="15.75">
      <c r="B1080" s="16"/>
    </row>
    <row r="1081" ht="15.75">
      <c r="B1081" s="16"/>
    </row>
    <row r="1082" ht="15.75">
      <c r="B1082" s="16"/>
    </row>
    <row r="1083" ht="15.75">
      <c r="B1083" s="16"/>
    </row>
    <row r="1084" ht="15.75">
      <c r="B1084" s="16"/>
    </row>
    <row r="1085" ht="15.75">
      <c r="B1085" s="16"/>
    </row>
    <row r="1086" ht="15.75">
      <c r="B1086" s="16"/>
    </row>
    <row r="1087" ht="15.75">
      <c r="B1087" s="16"/>
    </row>
    <row r="1088" ht="15.75">
      <c r="B1088" s="16"/>
    </row>
    <row r="1089" ht="15.75">
      <c r="B1089" s="16"/>
    </row>
    <row r="1090" ht="15.75">
      <c r="B1090" s="16"/>
    </row>
    <row r="1091" ht="15.75">
      <c r="B1091" s="16"/>
    </row>
    <row r="1092" ht="15.75">
      <c r="B1092" s="16"/>
    </row>
    <row r="1093" ht="15.75">
      <c r="B1093" s="16"/>
    </row>
    <row r="1094" ht="15.75">
      <c r="B1094" s="16"/>
    </row>
    <row r="1095" ht="15.75">
      <c r="B1095" s="16"/>
    </row>
    <row r="1096" ht="15.75">
      <c r="B1096" s="16"/>
    </row>
    <row r="1097" ht="15.75">
      <c r="B1097" s="16"/>
    </row>
    <row r="1098" ht="15.75">
      <c r="B1098" s="16"/>
    </row>
    <row r="1099" ht="15.75">
      <c r="B1099" s="16"/>
    </row>
    <row r="1100" ht="15.75">
      <c r="B1100" s="16"/>
    </row>
    <row r="1101" ht="15.75">
      <c r="B1101" s="16"/>
    </row>
    <row r="1102" ht="15.75">
      <c r="B1102" s="16"/>
    </row>
    <row r="1103" ht="15.75">
      <c r="B1103" s="16"/>
    </row>
    <row r="1104" ht="15.75">
      <c r="B1104" s="16"/>
    </row>
    <row r="1105" ht="15.75">
      <c r="B1105" s="16"/>
    </row>
    <row r="1106" ht="15.75">
      <c r="B1106" s="16"/>
    </row>
    <row r="1107" ht="15.75">
      <c r="B1107" s="16"/>
    </row>
    <row r="1108" ht="15.75">
      <c r="B1108" s="16"/>
    </row>
    <row r="1109" ht="15.75">
      <c r="B1109" s="16"/>
    </row>
    <row r="1110" ht="15.75">
      <c r="B1110" s="16"/>
    </row>
    <row r="1111" ht="15.75">
      <c r="B1111" s="16"/>
    </row>
    <row r="1112" ht="15.75">
      <c r="B1112" s="16"/>
    </row>
    <row r="1113" ht="15.75">
      <c r="B1113" s="16"/>
    </row>
    <row r="1114" ht="15.75">
      <c r="B1114" s="16"/>
    </row>
    <row r="1115" ht="15.75">
      <c r="B1115" s="16"/>
    </row>
    <row r="1116" ht="15.75">
      <c r="B1116" s="16"/>
    </row>
    <row r="1117" ht="15.75">
      <c r="B1117" s="16"/>
    </row>
    <row r="1118" ht="15.75">
      <c r="B1118" s="16"/>
    </row>
    <row r="1119" ht="15.75">
      <c r="B1119" s="16"/>
    </row>
    <row r="1120" ht="15.75">
      <c r="B1120" s="16"/>
    </row>
    <row r="1121" ht="15.75">
      <c r="B1121" s="16"/>
    </row>
    <row r="1122" ht="15.75">
      <c r="B1122" s="16"/>
    </row>
    <row r="1123" ht="15.75">
      <c r="B1123" s="16"/>
    </row>
    <row r="1124" ht="15.75">
      <c r="B1124" s="16"/>
    </row>
    <row r="1125" ht="15.75">
      <c r="B1125" s="16"/>
    </row>
    <row r="1126" ht="15.75">
      <c r="B1126" s="16"/>
    </row>
    <row r="1127" ht="15.75">
      <c r="B1127" s="16"/>
    </row>
    <row r="1128" ht="15.75">
      <c r="B1128" s="16"/>
    </row>
    <row r="1129" ht="15.75">
      <c r="B1129" s="16"/>
    </row>
    <row r="1130" ht="15.75">
      <c r="B1130" s="16"/>
    </row>
    <row r="1131" ht="15.75">
      <c r="B1131" s="16"/>
    </row>
    <row r="1132" ht="15.75">
      <c r="B1132" s="16"/>
    </row>
    <row r="1133" ht="15.75">
      <c r="B1133" s="16"/>
    </row>
    <row r="1134" ht="15.75">
      <c r="B1134" s="16"/>
    </row>
    <row r="1135" ht="15.75">
      <c r="B1135" s="16"/>
    </row>
    <row r="1136" ht="15.75">
      <c r="B1136" s="16"/>
    </row>
    <row r="1137" ht="15.75">
      <c r="B1137" s="16"/>
    </row>
    <row r="1138" ht="15.75">
      <c r="B1138" s="16"/>
    </row>
    <row r="1139" ht="15.75">
      <c r="B1139" s="16"/>
    </row>
    <row r="1140" ht="15.75">
      <c r="B1140" s="16"/>
    </row>
    <row r="1141" ht="15.75">
      <c r="B1141" s="16"/>
    </row>
    <row r="1142" ht="15.75">
      <c r="B1142" s="16"/>
    </row>
    <row r="1143" ht="15.75">
      <c r="B1143" s="16"/>
    </row>
    <row r="1144" ht="15.75">
      <c r="B1144" s="16"/>
    </row>
    <row r="1145" ht="15.75">
      <c r="B1145" s="16"/>
    </row>
    <row r="1146" ht="15.75">
      <c r="B1146" s="16"/>
    </row>
    <row r="1147" ht="15.75">
      <c r="B1147" s="16"/>
    </row>
    <row r="1148" ht="15.75">
      <c r="B1148" s="16"/>
    </row>
    <row r="1149" ht="15.75">
      <c r="B1149" s="16"/>
    </row>
    <row r="1150" ht="15.75">
      <c r="B1150" s="16"/>
    </row>
    <row r="1151" ht="15.75">
      <c r="B1151" s="16"/>
    </row>
    <row r="1152" ht="15.75">
      <c r="B1152" s="16"/>
    </row>
    <row r="1153" ht="15.75">
      <c r="B1153" s="16"/>
    </row>
    <row r="1154" ht="15.75">
      <c r="B1154" s="16"/>
    </row>
    <row r="1155" ht="15.75">
      <c r="B1155" s="16"/>
    </row>
    <row r="1156" ht="15.75">
      <c r="B1156" s="16"/>
    </row>
    <row r="1157" ht="15.75">
      <c r="B1157" s="16"/>
    </row>
    <row r="1158" ht="15.75">
      <c r="B1158" s="16"/>
    </row>
    <row r="1159" ht="15.75">
      <c r="B1159" s="16"/>
    </row>
    <row r="1160" ht="15.75">
      <c r="B1160" s="16"/>
    </row>
    <row r="1161" ht="15.75">
      <c r="B1161" s="16"/>
    </row>
    <row r="1162" ht="15.75">
      <c r="B1162" s="16"/>
    </row>
    <row r="1163" ht="15.75">
      <c r="B1163" s="16"/>
    </row>
    <row r="1164" ht="15.75">
      <c r="B1164" s="16"/>
    </row>
    <row r="1165" ht="15.75">
      <c r="B1165" s="16"/>
    </row>
    <row r="1166" ht="15.75">
      <c r="B1166" s="16"/>
    </row>
    <row r="1167" ht="15.75">
      <c r="B1167" s="16"/>
    </row>
    <row r="1168" ht="15.75">
      <c r="B1168" s="16"/>
    </row>
    <row r="1169" ht="15.75">
      <c r="B1169" s="16"/>
    </row>
    <row r="1170" ht="15.75">
      <c r="B1170" s="16"/>
    </row>
    <row r="1171" ht="15.75">
      <c r="B1171" s="16"/>
    </row>
    <row r="1172" ht="15.75">
      <c r="B1172" s="16"/>
    </row>
    <row r="1173" ht="15.75">
      <c r="B1173" s="16"/>
    </row>
    <row r="1174" ht="15.75">
      <c r="B1174" s="16"/>
    </row>
    <row r="1175" ht="15.75">
      <c r="B1175" s="16"/>
    </row>
    <row r="1176" ht="15.75">
      <c r="B1176" s="16"/>
    </row>
    <row r="1177" ht="15.75">
      <c r="B1177" s="16"/>
    </row>
    <row r="1178" ht="15.75">
      <c r="B1178" s="16"/>
    </row>
    <row r="1179" ht="15.75">
      <c r="B1179" s="16"/>
    </row>
    <row r="1180" ht="15.75">
      <c r="B1180" s="16"/>
    </row>
    <row r="1181" ht="15.75">
      <c r="B1181" s="16"/>
    </row>
    <row r="1182" ht="15.75">
      <c r="B1182" s="16"/>
    </row>
    <row r="1183" ht="15.75">
      <c r="B1183" s="16"/>
    </row>
    <row r="1184" ht="15.75">
      <c r="B1184" s="16"/>
    </row>
    <row r="1185" ht="15.75">
      <c r="B1185" s="16"/>
    </row>
    <row r="1186" ht="15.75">
      <c r="B1186" s="16"/>
    </row>
    <row r="1187" ht="15.75">
      <c r="B1187" s="16"/>
    </row>
    <row r="1188" ht="15.75">
      <c r="B1188" s="16"/>
    </row>
    <row r="1189" ht="15.75">
      <c r="B1189" s="16"/>
    </row>
    <row r="1190" ht="15.75">
      <c r="B1190" s="16"/>
    </row>
    <row r="1191" ht="15.75">
      <c r="B1191" s="16"/>
    </row>
    <row r="1192" ht="15.75">
      <c r="B1192" s="16"/>
    </row>
    <row r="1193" ht="15.75">
      <c r="B1193" s="16"/>
    </row>
    <row r="1194" ht="15.75">
      <c r="B1194" s="16"/>
    </row>
    <row r="1195" ht="15.75">
      <c r="B1195" s="16"/>
    </row>
    <row r="1196" ht="15.75">
      <c r="B1196" s="16"/>
    </row>
    <row r="1197" ht="15.75">
      <c r="B1197" s="16"/>
    </row>
    <row r="1198" ht="15.75">
      <c r="B1198" s="16"/>
    </row>
    <row r="1199" ht="15.75">
      <c r="B1199" s="16"/>
    </row>
    <row r="1200" ht="15.75">
      <c r="B1200" s="16"/>
    </row>
    <row r="1201" ht="15.75">
      <c r="B1201" s="16"/>
    </row>
    <row r="1202" ht="15.75">
      <c r="B1202" s="16"/>
    </row>
    <row r="1203" ht="15.75">
      <c r="B1203" s="16"/>
    </row>
    <row r="1204" ht="15.75">
      <c r="B1204" s="16"/>
    </row>
    <row r="1205" ht="15.75">
      <c r="B1205" s="16"/>
    </row>
    <row r="1206" ht="15.75">
      <c r="B1206" s="16"/>
    </row>
    <row r="1207" ht="15.75">
      <c r="B1207" s="16"/>
    </row>
    <row r="1208" ht="15.75">
      <c r="B1208" s="16"/>
    </row>
    <row r="1209" ht="15.75">
      <c r="B1209" s="16"/>
    </row>
    <row r="1210" ht="15.75">
      <c r="B1210" s="16"/>
    </row>
    <row r="1211" ht="15.75">
      <c r="B1211" s="16"/>
    </row>
    <row r="1212" ht="15.75">
      <c r="B1212" s="16"/>
    </row>
    <row r="1213" ht="15.75">
      <c r="B1213" s="16"/>
    </row>
    <row r="1214" ht="15.75">
      <c r="B1214" s="16"/>
    </row>
    <row r="1215" ht="15.75">
      <c r="B1215" s="16"/>
    </row>
    <row r="1216" ht="15.75">
      <c r="B1216" s="16"/>
    </row>
    <row r="1217" ht="15.75">
      <c r="B1217" s="16"/>
    </row>
    <row r="1218" ht="15.75">
      <c r="B1218" s="16"/>
    </row>
    <row r="1219" ht="15.75">
      <c r="B1219" s="16"/>
    </row>
    <row r="1220" ht="15.75">
      <c r="B1220" s="16"/>
    </row>
    <row r="1221" ht="15.75">
      <c r="B1221" s="16"/>
    </row>
    <row r="1222" ht="15.75">
      <c r="B1222" s="16"/>
    </row>
    <row r="1223" ht="15.75">
      <c r="B1223" s="16"/>
    </row>
    <row r="1224" ht="15.75">
      <c r="B1224" s="16"/>
    </row>
    <row r="1225" ht="15.75">
      <c r="B1225" s="16"/>
    </row>
    <row r="1226" ht="15.75">
      <c r="B1226" s="16"/>
    </row>
    <row r="1227" ht="15.75">
      <c r="B1227" s="16"/>
    </row>
    <row r="1228" ht="15.75">
      <c r="B1228" s="16"/>
    </row>
    <row r="1229" ht="15.75">
      <c r="B1229" s="16"/>
    </row>
    <row r="1230" ht="15.75">
      <c r="B1230" s="16"/>
    </row>
    <row r="1231" ht="15.75">
      <c r="B1231" s="16"/>
    </row>
    <row r="1232" ht="15.75">
      <c r="B1232" s="16"/>
    </row>
    <row r="1233" ht="15.75">
      <c r="B1233" s="16"/>
    </row>
    <row r="1234" ht="15.75">
      <c r="B1234" s="16"/>
    </row>
    <row r="1235" ht="15.75">
      <c r="B1235" s="16"/>
    </row>
    <row r="1236" ht="15.75">
      <c r="B1236" s="16"/>
    </row>
    <row r="1237" ht="15.75">
      <c r="B1237" s="16"/>
    </row>
    <row r="1238" ht="15.75">
      <c r="B1238" s="16"/>
    </row>
    <row r="1239" ht="15.75">
      <c r="B1239" s="16"/>
    </row>
    <row r="1240" ht="15.75">
      <c r="B1240" s="16"/>
    </row>
    <row r="1241" ht="15.75">
      <c r="B1241" s="16"/>
    </row>
    <row r="1242" ht="15.75">
      <c r="B1242" s="16"/>
    </row>
    <row r="1243" ht="15.75">
      <c r="B1243" s="16"/>
    </row>
    <row r="1244" ht="15.75">
      <c r="B1244" s="16"/>
    </row>
    <row r="1245" ht="15.75">
      <c r="B1245" s="16"/>
    </row>
    <row r="1246" ht="15.75">
      <c r="B1246" s="16"/>
    </row>
    <row r="1247" ht="15.75">
      <c r="B1247" s="16"/>
    </row>
    <row r="1248" ht="15.75">
      <c r="B1248" s="16"/>
    </row>
    <row r="1249" ht="15.75">
      <c r="B1249" s="16"/>
    </row>
    <row r="1250" ht="15.75">
      <c r="B1250" s="16"/>
    </row>
    <row r="1251" ht="15.75">
      <c r="B1251" s="16"/>
    </row>
    <row r="1252" ht="15.75">
      <c r="B1252" s="16"/>
    </row>
    <row r="1253" ht="15.75">
      <c r="B1253" s="16"/>
    </row>
    <row r="1254" ht="15.75">
      <c r="B1254" s="16"/>
    </row>
    <row r="1255" ht="15.75">
      <c r="B1255" s="16"/>
    </row>
    <row r="1256" ht="15.75">
      <c r="B1256" s="16"/>
    </row>
    <row r="1257" ht="15.75">
      <c r="B1257" s="16"/>
    </row>
    <row r="1258" ht="15.75">
      <c r="B1258" s="16"/>
    </row>
    <row r="1259" ht="15.75">
      <c r="B1259" s="16"/>
    </row>
    <row r="1260" ht="15.75">
      <c r="B1260" s="16"/>
    </row>
    <row r="1261" ht="15.75">
      <c r="B1261" s="16"/>
    </row>
    <row r="1262" ht="15.75">
      <c r="B1262" s="16"/>
    </row>
    <row r="1263" ht="15.75">
      <c r="B1263" s="16"/>
    </row>
    <row r="1264" ht="15.75">
      <c r="B1264" s="16"/>
    </row>
    <row r="1265" ht="15.75">
      <c r="B1265" s="16"/>
    </row>
    <row r="1266" ht="15.75">
      <c r="B1266" s="16"/>
    </row>
    <row r="1267" ht="15.75">
      <c r="B1267" s="16"/>
    </row>
    <row r="1268" ht="15.75">
      <c r="B1268" s="16"/>
    </row>
    <row r="1269" ht="15.75">
      <c r="B1269" s="16"/>
    </row>
    <row r="1270" ht="15.75">
      <c r="B1270" s="16"/>
    </row>
    <row r="1271" ht="15.75">
      <c r="B1271" s="16"/>
    </row>
    <row r="1272" ht="15.75">
      <c r="B1272" s="16"/>
    </row>
    <row r="1273" ht="15.75">
      <c r="B1273" s="16"/>
    </row>
    <row r="1274" ht="15.75">
      <c r="B1274" s="16"/>
    </row>
    <row r="1275" ht="15.75">
      <c r="B1275" s="16"/>
    </row>
    <row r="1276" ht="15.75">
      <c r="B1276" s="16"/>
    </row>
    <row r="1277" ht="15.75">
      <c r="B1277" s="16"/>
    </row>
    <row r="1278" ht="15.75">
      <c r="B1278" s="16"/>
    </row>
    <row r="1279" ht="15.75">
      <c r="B1279" s="16"/>
    </row>
    <row r="1280" ht="15.75">
      <c r="B1280" s="16"/>
    </row>
    <row r="1281" ht="15.75">
      <c r="B1281" s="16"/>
    </row>
    <row r="1282" ht="15.75">
      <c r="B1282" s="16"/>
    </row>
    <row r="1283" ht="15.75">
      <c r="B1283" s="16"/>
    </row>
    <row r="1284" ht="15.75">
      <c r="B1284" s="16"/>
    </row>
    <row r="1285" ht="15.75">
      <c r="B1285" s="16"/>
    </row>
    <row r="1286" ht="15.75">
      <c r="B1286" s="16"/>
    </row>
    <row r="1287" ht="15.75">
      <c r="B1287" s="16"/>
    </row>
    <row r="1288" ht="15.75">
      <c r="B1288" s="16"/>
    </row>
    <row r="1289" ht="15.75">
      <c r="B1289" s="16"/>
    </row>
    <row r="1290" ht="15.75">
      <c r="B1290" s="16"/>
    </row>
    <row r="1291" ht="15.75">
      <c r="B1291" s="16"/>
    </row>
    <row r="1292" ht="15.75">
      <c r="B1292" s="16"/>
    </row>
  </sheetData>
  <sheetProtection/>
  <mergeCells count="73">
    <mergeCell ref="A299:I299"/>
    <mergeCell ref="A302:I302"/>
    <mergeCell ref="A275:I275"/>
    <mergeCell ref="A278:I278"/>
    <mergeCell ref="A281:I281"/>
    <mergeCell ref="A290:I290"/>
    <mergeCell ref="A293:I293"/>
    <mergeCell ref="A296:I296"/>
    <mergeCell ref="A262:I262"/>
    <mergeCell ref="A253:I253"/>
    <mergeCell ref="A266:I266"/>
    <mergeCell ref="A269:I269"/>
    <mergeCell ref="A272:I272"/>
    <mergeCell ref="A244:I244"/>
    <mergeCell ref="A247:I247"/>
    <mergeCell ref="A250:I250"/>
    <mergeCell ref="A254:I254"/>
    <mergeCell ref="A259:I259"/>
    <mergeCell ref="A92:I92"/>
    <mergeCell ref="A241:I241"/>
    <mergeCell ref="A212:I212"/>
    <mergeCell ref="A218:I218"/>
    <mergeCell ref="A221:I221"/>
    <mergeCell ref="A224:I224"/>
    <mergeCell ref="A227:I227"/>
    <mergeCell ref="A186:I186"/>
    <mergeCell ref="A190:I190"/>
    <mergeCell ref="A196:I196"/>
    <mergeCell ref="A200:I200"/>
    <mergeCell ref="A100:I100"/>
    <mergeCell ref="A114:I114"/>
    <mergeCell ref="A123:I123"/>
    <mergeCell ref="A133:I133"/>
    <mergeCell ref="A22:I22"/>
    <mergeCell ref="A203:I203"/>
    <mergeCell ref="A206:I206"/>
    <mergeCell ref="A406:I406"/>
    <mergeCell ref="A327:I327"/>
    <mergeCell ref="A331:I331"/>
    <mergeCell ref="A351:I351"/>
    <mergeCell ref="A361:I361"/>
    <mergeCell ref="A375:I375"/>
    <mergeCell ref="A91:I91"/>
    <mergeCell ref="A377:I377"/>
    <mergeCell ref="A396:I396"/>
    <mergeCell ref="A402:I402"/>
    <mergeCell ref="A324:I324"/>
    <mergeCell ref="A306:I306"/>
    <mergeCell ref="A209:I209"/>
    <mergeCell ref="A230:I230"/>
    <mergeCell ref="A233:I233"/>
    <mergeCell ref="A234:I234"/>
    <mergeCell ref="A238:I238"/>
    <mergeCell ref="A1:I1"/>
    <mergeCell ref="A3:A4"/>
    <mergeCell ref="B3:B4"/>
    <mergeCell ref="G3:I3"/>
    <mergeCell ref="A215:I215"/>
    <mergeCell ref="A113:I113"/>
    <mergeCell ref="A5:I5"/>
    <mergeCell ref="A195:I195"/>
    <mergeCell ref="A43:I43"/>
    <mergeCell ref="A96:I96"/>
    <mergeCell ref="A124:I124"/>
    <mergeCell ref="A127:I127"/>
    <mergeCell ref="A63:I63"/>
    <mergeCell ref="A71:I71"/>
    <mergeCell ref="A75:I75"/>
    <mergeCell ref="A26:I26"/>
    <mergeCell ref="A27:I27"/>
    <mergeCell ref="A31:I31"/>
    <mergeCell ref="A39:I39"/>
    <mergeCell ref="A87:I87"/>
  </mergeCells>
  <printOptions/>
  <pageMargins left="0.984251968503937" right="0.5118110236220472" top="0.5905511811023623" bottom="0.7480314960629921" header="0" footer="0"/>
  <pageSetup fitToHeight="10" horizontalDpi="600" verticalDpi="600" orientation="portrait" paperSize="9" scale="84" r:id="rId3"/>
  <headerFooter differentFirst="1" alignWithMargins="0">
    <oddHeader>&amp;C&amp;P</oddHeader>
  </headerFooter>
  <rowBreaks count="13" manualBreakCount="13">
    <brk id="64" max="8" man="1"/>
    <brk id="107" max="8" man="1"/>
    <brk id="138" max="8" man="1"/>
    <brk id="165" max="8" man="1"/>
    <brk id="197" max="8" man="1"/>
    <brk id="226" max="8" man="1"/>
    <brk id="256" max="8" man="1"/>
    <brk id="292" max="8" man="1"/>
    <brk id="315" max="8" man="1"/>
    <brk id="334" max="8" man="1"/>
    <brk id="354" max="8" man="1"/>
    <brk id="374" max="8" man="1"/>
    <brk id="40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Ольга В. Силицкая</cp:lastModifiedBy>
  <cp:lastPrinted>2012-10-31T05:35:57Z</cp:lastPrinted>
  <dcterms:created xsi:type="dcterms:W3CDTF">2003-05-23T03:32:28Z</dcterms:created>
  <dcterms:modified xsi:type="dcterms:W3CDTF">2012-11-27T08:57:05Z</dcterms:modified>
  <cp:category/>
  <cp:version/>
  <cp:contentType/>
  <cp:contentStatus/>
</cp:coreProperties>
</file>