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0" windowWidth="16260" windowHeight="10155" activeTab="0"/>
  </bookViews>
  <sheets>
    <sheet name="frmRRO4" sheetId="1" r:id="rId1"/>
    <sheet name="план 2018" sheetId="2" r:id="rId2"/>
    <sheet name="план 2019" sheetId="3" r:id="rId3"/>
    <sheet name="план 2020" sheetId="4" r:id="rId4"/>
    <sheet name="Лист2" sheetId="5" r:id="rId5"/>
  </sheets>
  <definedNames>
    <definedName name="_xlnm.Print_Titles" localSheetId="0">'frmRRO4'!$2:$5</definedName>
  </definedNames>
  <calcPr fullCalcOnLoad="1"/>
</workbook>
</file>

<file path=xl/sharedStrings.xml><?xml version="1.0" encoding="utf-8"?>
<sst xmlns="http://schemas.openxmlformats.org/spreadsheetml/2006/main" count="3394" uniqueCount="1363">
  <si>
    <t xml:space="preserve">Код строки
</t>
  </si>
  <si>
    <t xml:space="preserve">Код расхода по БК
</t>
  </si>
  <si>
    <t>Объем средств на исполнение расходного обязательства (тыс. руб.)</t>
  </si>
  <si>
    <t>1</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</si>
  <si>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</si>
  <si>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</si>
  <si>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1.5.4.2.39. разработка и утверждение программ комплексного развития систем коммунальной инфраструктуры поселений, программ комплексного развития транспортной инфраструктуры поселений, программ комплексного развития социальной инфраструктуры поселений,  требования к которым устанавливаются Правительством Российской Федерации</t>
  </si>
  <si>
    <t xml:space="preserve">Российской Федерации
</t>
  </si>
  <si>
    <t>субъекта Российской Федерации</t>
  </si>
  <si>
    <t>плановый период</t>
  </si>
  <si>
    <t>номер статьи,(подстатьи), пункта (подпункта)</t>
  </si>
  <si>
    <t xml:space="preserve">дата вступления в силу и срок действия
</t>
  </si>
  <si>
    <t>раздел</t>
  </si>
  <si>
    <t>подраздел</t>
  </si>
  <si>
    <t>по плану</t>
  </si>
  <si>
    <t>по факту</t>
  </si>
  <si>
    <t>2</t>
  </si>
  <si>
    <t>3</t>
  </si>
  <si>
    <t>4</t>
  </si>
  <si>
    <t>5</t>
  </si>
  <si>
    <t>6</t>
  </si>
  <si>
    <t>7</t>
  </si>
  <si>
    <t>8</t>
  </si>
  <si>
    <t>10</t>
  </si>
  <si>
    <t>11</t>
  </si>
  <si>
    <t>12</t>
  </si>
  <si>
    <t>13</t>
  </si>
  <si>
    <t>14</t>
  </si>
  <si>
    <t>1000</t>
  </si>
  <si>
    <t xml:space="preserve">
x
</t>
  </si>
  <si>
    <t>1001</t>
  </si>
  <si>
    <t xml:space="preserve">
</t>
  </si>
  <si>
    <t>01</t>
  </si>
  <si>
    <t>06</t>
  </si>
  <si>
    <t>1005</t>
  </si>
  <si>
    <t>05</t>
  </si>
  <si>
    <t>02</t>
  </si>
  <si>
    <t>04</t>
  </si>
  <si>
    <t>09</t>
  </si>
  <si>
    <t>1007</t>
  </si>
  <si>
    <t>08</t>
  </si>
  <si>
    <t>03</t>
  </si>
  <si>
    <t>1015</t>
  </si>
  <si>
    <t>07</t>
  </si>
  <si>
    <t>1024</t>
  </si>
  <si>
    <t>1048</t>
  </si>
  <si>
    <t>1100</t>
  </si>
  <si>
    <t>1103</t>
  </si>
  <si>
    <t>1118</t>
  </si>
  <si>
    <t>1.3.1.6. создание условий для развития туризма</t>
  </si>
  <si>
    <t>1401</t>
  </si>
  <si>
    <t>1403</t>
  </si>
  <si>
    <t>1.4.1.2. по составлению списков кандидатов в присяжные заседатели</t>
  </si>
  <si>
    <t>1503</t>
  </si>
  <si>
    <t>Итого расходных обязательств муниципальных образований</t>
  </si>
  <si>
    <t>8000</t>
  </si>
  <si>
    <t>муниципального образования</t>
  </si>
  <si>
    <t>Федеральный Закон от 06.10.2003 № 131-ФЗ "Об общих принципах организации местного самоуправления"</t>
  </si>
  <si>
    <t>06.10.2003, не установлен</t>
  </si>
  <si>
    <t xml:space="preserve">Закон Томской области от 11 сентября 2007 г. N 198-ОЗ "О муниципальной службе в Томской области" </t>
  </si>
  <si>
    <t>ст. 11, п. 1</t>
  </si>
  <si>
    <t>01.01.2006, не установлен</t>
  </si>
  <si>
    <t>Федеральный Закон от 02.03.2007 № 25-ФЗ "О муниципальной службе в РФ"</t>
  </si>
  <si>
    <t>01.06.2007, не установлен</t>
  </si>
  <si>
    <t>01.01.2008, не установлен</t>
  </si>
  <si>
    <t>01.02.2002, не установлен</t>
  </si>
  <si>
    <t>29.02.1993, не установлен</t>
  </si>
  <si>
    <t>01.01.2005, не установлен</t>
  </si>
  <si>
    <t>01.01.2009, не установлен</t>
  </si>
  <si>
    <t>Решение Думы Колпашевского района от 26.11.2008 № 564 "О введении новых систем оплаты труда" (в редакции от 13.02.2009 № 621, от 24.02.2009 № 623, от 28.08.2009 № 690, от 07.12.2009 № 741, от 24.12.2010 № 31, от 25.11.2011 № 138, от 24.05.2012 № 82, от 16.12.2013 № 117, от 28.05.2014 № 49, от 27.04.2015 № 33)</t>
  </si>
  <si>
    <t>в целом</t>
  </si>
  <si>
    <t>13.08.2014, не установлен</t>
  </si>
  <si>
    <t>п. 1</t>
  </si>
  <si>
    <t>23.04.2012, не установлен</t>
  </si>
  <si>
    <t>п.1-3</t>
  </si>
  <si>
    <t>ст. 15, п.1, п.п. 3</t>
  </si>
  <si>
    <t xml:space="preserve">
Гл. 1-2 Положения</t>
  </si>
  <si>
    <t xml:space="preserve">
13.07.2010, не установлен</t>
  </si>
  <si>
    <t>Решенин Думы Колпашевского района от 14.07.2006 № 181 "Об утверждении Положения об организации работ по содержанию и ремонту, автомобильных дорог общего пользования между населенными пунктами и дорожных сооружений вне границ населенных пунктов в границах МО "Колпашевский район" (в редакции от 17.07.2008 № 501, от 23.07.2008 № 514, от 29.09.2010 № 919)</t>
  </si>
  <si>
    <t>Гл. 2-6 Положения</t>
  </si>
  <si>
    <t>01.08.2006, не установлен</t>
  </si>
  <si>
    <t>01.01.2016- 31.12.2016</t>
  </si>
  <si>
    <t>Решение Думы Колпашевского района от 28.10.2013 № 91 "О создании муниципального дорожного фонда муниципального образования "Колпашевский район" и утверждении положения о порядке формирования и использования бюджетных ассигнований муниципального дорожного фонда муниципального образования "Колпашевский район" (в редакции от 28.04.2014 № 38)</t>
  </si>
  <si>
    <t>01.01.2014, не установлен</t>
  </si>
  <si>
    <t>Гл.3, ст.15, п.1, п.п.5</t>
  </si>
  <si>
    <t>13.05.2010, не установлен</t>
  </si>
  <si>
    <t>Гл.3, ст.15, п.1, п.п.6</t>
  </si>
  <si>
    <t>Постановление Администрации Колпашевского района от 14.09.2015 № 931 "О порядке расходования иных межбюджетных трансфертов, представленных из областного бюджета, на финансовое обеспечение мероприятий по временному социально-бытовому обустройству лиц, вынужденно покинувших территорию Украины и находящихся в помещениях, закрепленных за муниципальными учреждениями на праве оперативного управления или принадлежащих им на ином праве, определенных в качестве пунктов временного размещения" (в редакции от 30.09.2015 № 1001)</t>
  </si>
  <si>
    <t>14.09.2015- 25.12.2015</t>
  </si>
  <si>
    <t>Решение Думы Колпашевского района от 27.02.2007 № 297 "Об утверждении Положения о формировании, пополнении и учете районного страхового (аварийного) запаса материально-технических ресурсов для предприятий ЖКХ Колпашевского района" (от 26.12.2007 № 408)</t>
  </si>
  <si>
    <t>п.3 Положения</t>
  </si>
  <si>
    <t>27.02.2007- не установлен</t>
  </si>
  <si>
    <t>п.1</t>
  </si>
  <si>
    <t>10.09.2012, не установлен</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</si>
  <si>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</si>
  <si>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Федеральный Закон от 21.12.1994 № 68-ФЗ "О защите населения и территорий от чрезвычайных ситуаций природного и техногенного характера"</t>
  </si>
  <si>
    <t>ст. 24</t>
  </si>
  <si>
    <t>24.12.1994, не установлен</t>
  </si>
  <si>
    <t>Закон Томской области от 11.11.2005 N 206-ОЗ "О защите населения и территорий Томской области от чрезвычайных ситуаций природного и техногенного характера"</t>
  </si>
  <si>
    <t>03.12.2005, не установлен</t>
  </si>
  <si>
    <t>в том числе:</t>
  </si>
  <si>
    <t>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 от 16.12.2013 № 129)</t>
  </si>
  <si>
    <t>п.1-3 Положения</t>
  </si>
  <si>
    <t>01.07.2007, не установлен</t>
  </si>
  <si>
    <t xml:space="preserve">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 от 16.12.2013 № 129)
</t>
  </si>
  <si>
    <t>Гл.3, ст.15, п.1, п.п. 14</t>
  </si>
  <si>
    <t>Постановление Администрации Томской области от 05.06.2014 N 215а "О Порядке предоставления иных межбюджетных трансфертов на приобретение модульных фельдшерско-акушерских пунктов"</t>
  </si>
  <si>
    <t>05.06.2014- 31.12.2014</t>
  </si>
  <si>
    <t>Решение Думы Колпашевского района от 26.01.2015 № 8 "Об утверждении положения о создании условий для оказания медицинской помощи населению на территории Колпашевского района в соответствии с территориальной программой государственных гарантий бесплатного оказания гражданам медицинской помощи"</t>
  </si>
  <si>
    <t>26.01.2015, не установлен</t>
  </si>
  <si>
    <t xml:space="preserve">Постановление Администрации Колпашеского района от 01.10.2014 № 1130 "О порядке расходования межбюджетного трансферта из областного бюджета бюджету муниципального образования «Колпашевский район» на приобретение модульных фельдшерско-акушерских пунктов" (в редакции от 19.12.2014 № 1534, от 27.12.2014 № 1160, от 04.03.2015 № 266)
</t>
  </si>
  <si>
    <t>01.10.2014- 31.03.2015</t>
  </si>
  <si>
    <t>Гл.3, ст.15, п. 1, п.п. 16</t>
  </si>
  <si>
    <t>Решение Думы Колпашевского района от 28.12.2005 № 50 "Об утверждении Положения о муниципальном архиве Колпашевского района"</t>
  </si>
  <si>
    <t>Постановление Администрации Томской области от 13.05.2010 г. N 94а "О Порядке предоставления из областного бюджета субсидий бюджетам муниципальных образований Томской области и их расходования"</t>
  </si>
  <si>
    <t>Гл.3, ст.15, часть 1, п.19.1</t>
  </si>
  <si>
    <t>ст. 10</t>
  </si>
  <si>
    <t>08.07.2007, не установлен</t>
  </si>
  <si>
    <t>Постановление Администрации Колпашевского района от 30.12.2013 № 1404 "Об утверждении муниципальной программы "Развитие культуры в Колпашевском районе на 2014-2017 годы" (в редакции от 21.03.2014 № 269, от 20.06.2014 № 584, от 24.09.2014 № 916, от 13.10.2014 № 1181, от 07.11.2014 № 1293, от 14.11.2014 № 1322, от 17.12.2014 № 1492, от 30.12.2014 № 1643, от 06.03.2015 № 276, от 13.04.2015 № 399, от 29.07.2015 № 732, от 29.09.2015 № 997, от 29.10.2015 № 1096, от 17.12.2015 № 1320)</t>
  </si>
  <si>
    <t>01.01.2014- 31.12.2017</t>
  </si>
  <si>
    <t>01.01.2015, не установлен</t>
  </si>
  <si>
    <t>Гл.3, ст.15, п.1, п.п. 25</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</si>
  <si>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расширения рынка сельскохозяйственной продукции, сырья продовольствия" (в редакции от 27.11.2015 № 44)</t>
  </si>
  <si>
    <t>01.01.2013, не установлен</t>
  </si>
  <si>
    <t>19.09.2008, не установлен</t>
  </si>
  <si>
    <t>01.01.2013- 31.12.2018</t>
  </si>
  <si>
    <t>Решение Думы Колпашевскогот района от 29.04.2013 № 35 "О порядке использования средств бюджета муниципального образования "Колпашевский район" на реализацию мероприятий, направленных на содействие развитию малого и среднего предпринимательства" (в редакции от 05.09.2013 № 72, от 13.08.2014 № 76)</t>
  </si>
  <si>
    <t>29.04.2013, не установлен</t>
  </si>
  <si>
    <t>01.08.2013- 31.12.2020</t>
  </si>
  <si>
    <t>Постановление Администрации Томской области от 12.12.2014 N 485а "Об утверждении государственной программы "Развитие сельского хозяйства и регулируемых рынков в Томской области"</t>
  </si>
  <si>
    <t>п.3 Программы</t>
  </si>
  <si>
    <t>01.01.2015- 31.12.2020</t>
  </si>
  <si>
    <t>Решение Думы Колпашевского района от 29.04.2013 № 37 "О порядке использования средств бюджета муниципального образования "Колпашевский район" на проведение мероприятий по улучшению жилищных условий граждан, проживающих в сельской местности, в том числе молодых семей и молодых специалистов" (в редакции от 31.07.2015 № 71)</t>
  </si>
  <si>
    <t>29.04.2013- 31.12.2020</t>
  </si>
  <si>
    <t>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t>
  </si>
  <si>
    <t>ст. 1</t>
  </si>
  <si>
    <t>07.01.2007, не установлен</t>
  </si>
  <si>
    <t>Постановление Администрации Колпашевского района от 31.03.2016 № 334 "Об утверждении муниципальной программы "Развитие молодежной политики, физической культуры и массового спорта на территории муниципального образования "Колпашевский район"</t>
  </si>
  <si>
    <t>01.01.2016- 31.12.2021</t>
  </si>
  <si>
    <t>Гл.3, ст.15, п.1, п.п.26</t>
  </si>
  <si>
    <t xml:space="preserve">п. 2-5 Положения,      </t>
  </si>
  <si>
    <t>30.03.2007, не установлен</t>
  </si>
  <si>
    <t xml:space="preserve"> Решение Думы Колпашевского района от 28.10.2009 № 716 " Об использовании средств местного бюджета на финансирование расходов, связанных с участием обучающихся муниципальных образовательных учреждений муниципального образования "Колпашевский район" в спортивных мероприятиях районного, регионального, межрегионального и федерального уровней" (в редакции от 13.02.2012 № 24, от 19.12.2012 № 152)</t>
  </si>
  <si>
    <t xml:space="preserve">Федеральный Закон от 06.10.2003 № 131-ФЗ "Об общих принципах организации местного самоуправления" </t>
  </si>
  <si>
    <t>Гл.3, ст.15, п.1, п.п.27</t>
  </si>
  <si>
    <t>Решение Думы Колпашевского района от 29.11.2006 № 240 "Об утверждении Положения "Об организации и осуществлении мероприятий межпоселенческого характера по работе с детьми и молодежью на территории муниципального образования "Колпашевский район" (в редакции от 15.12.2014 № 162, от 25.03.2015 № 31)</t>
  </si>
  <si>
    <t>01.01.2007, не установлен</t>
  </si>
  <si>
    <t>Программа</t>
  </si>
  <si>
    <t>01.01.2016- 31.12.2020</t>
  </si>
  <si>
    <t>(684)</t>
  </si>
  <si>
    <t>Решение Думы Колпашевского района от 15.12.2014 № 161 "О порядке расходования денежных средств, выделенных бюджету муниципального образования "Колпашевский район" на осуществление переданных полномочий по решению вопросов местного значения поселений Колпашевского района"</t>
  </si>
  <si>
    <t>Решение Думы Колпашевского района от 15.12.2014 № 160 "Об организации библиотечного обслуживания населения сельских поселений Колпашевского района, комплектовании и обеспечении сохранности библиотечных фондов библиотек сельских поселений Колпашевского района"</t>
  </si>
  <si>
    <t>Постановление Администрации Колпашевского района от 30.01.2015 № 79 "Об утверждении Порядка расходования иных межбюджетных трансфертов, выделяемых бюджету муниципального образования "Колпашевский район" на осуществление переданных полномочий по решению вопроса местного значения по организации библиотечного обслуживания населения, комплектованию и обеспечению сохранности библиотечных фондов библиотек Колпашевского городского поселения"</t>
  </si>
  <si>
    <t>ст. 34</t>
  </si>
  <si>
    <t>ст. 9-13</t>
  </si>
  <si>
    <t>Решение Думы Колпашевского района от 08.10.2005 № 418 "Об утверждении положений " (Приложение 1)</t>
  </si>
  <si>
    <t xml:space="preserve">п.2-4 Положения </t>
  </si>
  <si>
    <t xml:space="preserve">01.01.2006, не установлен </t>
  </si>
  <si>
    <t>ст.34, п.9</t>
  </si>
  <si>
    <t>06.10.2003, не утановлен</t>
  </si>
  <si>
    <t>п.1-2</t>
  </si>
  <si>
    <t>31.05.2006, не установлен</t>
  </si>
  <si>
    <t>Решение Думы Колпашевского района от 25.03.2015 № 30 "О порядке расходования денежных средств, выделенных бюджету муниципального образования "Колпашевский район" на осуществление переданных полномочий по решению вопросов местного значения"</t>
  </si>
  <si>
    <t>ст.17, п.1, п.п. 3</t>
  </si>
  <si>
    <t>Решение Думы Колпашевского района от 14.07.2006 № 176 "О финансировании расходов, связанных с размещением заказа на поставку товаров, выполнение работ и оказание услуг для муниципальных нужд" (в редакции от 28.04.2008 № 467)</t>
  </si>
  <si>
    <t>п. 1-4</t>
  </si>
  <si>
    <t>14.07.2006, не установлен</t>
  </si>
  <si>
    <t>Постановление Правительства РФ от 30.12.2003 N 794 "О единой государственной системе предупреждения и ликвидации чрезвычайных ситуаций"</t>
  </si>
  <si>
    <t>п.8, п.9, п.20, п.30</t>
  </si>
  <si>
    <t>20.01.2004, не установлен</t>
  </si>
  <si>
    <t>Постановление Администрации Томской области от 17.08.2007 N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области"</t>
  </si>
  <si>
    <t>п. 32</t>
  </si>
  <si>
    <t>17.08.2007, не установлен</t>
  </si>
  <si>
    <t>Постановление Администрации Колпашевского района от 20.11.2015 № 1176 "Об утверждении положения о единой дежурно-диспетчерской службе Колпашевского района"</t>
  </si>
  <si>
    <t>20.11.2015, не установлен</t>
  </si>
  <si>
    <t>ст.57, п.1, п.2</t>
  </si>
  <si>
    <t>25.06.2002, не установлен</t>
  </si>
  <si>
    <t>ст. 22, п.1</t>
  </si>
  <si>
    <t>29.01.2007, не установлен</t>
  </si>
  <si>
    <t>Решение Думы Колпашевского района от 26.12.2007 № 401 "О порядке расходования средств местного бюджета на финансирование проведения муниципальных выборов"</t>
  </si>
  <si>
    <t>Федеральный закон от 26.11.1996 № 138-ФЗ "Об обеспечении конституционных прав граждан Российской Федерации избирать и быть избранными в органы местного самоуправления"</t>
  </si>
  <si>
    <t>ст.4, п.4</t>
  </si>
  <si>
    <t>02.12.1996, не установлен</t>
  </si>
  <si>
    <t>Закон Томской области от 14.02.2005 № 29-ОЗ "О муниципальных выборах в Томской области"</t>
  </si>
  <si>
    <t>ст. 46, п.1</t>
  </si>
  <si>
    <t>26.02.2005, не установлен</t>
  </si>
  <si>
    <t>с. 17, п.1, п.п. 5</t>
  </si>
  <si>
    <t>Закон Томской области от 10.04.2003 № 50-ОЗ "Об избирательных комиссиях, комиссиях референдума в Томской области"</t>
  </si>
  <si>
    <t>ст.15, п.1</t>
  </si>
  <si>
    <t>06.05.2003, не установлен</t>
  </si>
  <si>
    <t>Федеральный закон от 10.01.2003 № 20-ФЗ "О Государственной автоматизированной системе Российской Федерации "Выборы"</t>
  </si>
  <si>
    <t>ст.25, п.1, п.2</t>
  </si>
  <si>
    <t>24.01.2003, не установлен</t>
  </si>
  <si>
    <t>Гл.3, ст.17, п. 1, п.п. 8.1.</t>
  </si>
  <si>
    <t>Решение Думы Колпашевского района от 08.10.2005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t>
  </si>
  <si>
    <t>п. 1-3</t>
  </si>
  <si>
    <t xml:space="preserve">01.01.2012, не установлен </t>
  </si>
  <si>
    <t>(659)</t>
  </si>
  <si>
    <t>Постановление Администрации Томской области от 28.12.2012 N 544а "О порядке предоставления иных межбюджетных трансфертов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</si>
  <si>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п. 1,3</t>
  </si>
  <si>
    <t>Решение Думы Колпашевского района от 26.01.2015 № 8 "Об утверждении положения о создании условий для оказания медицинской помощи населению на территории Колпашевского района в соответствии с территориальной программой государственных гарантий бесплатного оказания гражданам медицинской помощи" (в редакции от 27.11.2015 № 39)</t>
  </si>
  <si>
    <t>Федеральный Закон от 12.01.1996 № 7-ФЗ "О некоммерческих организациях"</t>
  </si>
  <si>
    <t>ст. 31</t>
  </si>
  <si>
    <t>24.01.1996, не установлен</t>
  </si>
  <si>
    <t>Решение Думы Колпашевского района от 25.11.2013 № 107 "О финансировании за счет средств бюджета МО "Колпашевский район" мероприятий направленных на поддержку социально-орентированных некомерческих организаций, не являющихся муниципальными учреждениями" (в редакции от 15.12.2014 № 154)</t>
  </si>
  <si>
    <t>25.11.2013, не установлен</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</si>
  <si>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</si>
  <si>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ст.8</t>
  </si>
  <si>
    <t>23.12.1998, не установлен</t>
  </si>
  <si>
    <t>Решение Думы Колпашевского района от 25.11.2011 № 150 "О порядке расходования бюджетных ассигнований, выделенных бюджету муниципального образования «Колпашевский район» из бюджета Томской области на исполнение судебных решений"</t>
  </si>
  <si>
    <t>25.11.2011, не установлен</t>
  </si>
  <si>
    <t>ст.15.1, п.2</t>
  </si>
  <si>
    <t>Ст. 4, п. 2,3 Положения</t>
  </si>
  <si>
    <t>Решение Думы Колпашевского района от 31.10.2006 № 222 "Об утверждении положения о присвоении звания "Человек года" на территории муниципального образования "Колпашевский район"</t>
  </si>
  <si>
    <t>Гл. 6- 9 Положения</t>
  </si>
  <si>
    <t>31.10.2006, не установлен</t>
  </si>
  <si>
    <t>п.2</t>
  </si>
  <si>
    <t>19.12.2012, не установлен</t>
  </si>
  <si>
    <t>Закон Томской области от 07.09.2009 N 169-ОЗ "О взаимодействии органов государственной власти Томской области с Ассоциацией "Совет муниципальных образований Томской области"</t>
  </si>
  <si>
    <t>ст. 6,7</t>
  </si>
  <si>
    <t>26.09.2009, не установлен</t>
  </si>
  <si>
    <t>Решение Думы Колпашевского района от 28.02.2006 № 82 "О вступлении в Совет Муниципальных образований Томской области" (в редакции от 22.12.2006 № 255, от 26.02.2010 № 814 )</t>
  </si>
  <si>
    <t>28.02.2006, не установлен</t>
  </si>
  <si>
    <t>Федеральный закон от 20.08.2004 N 113-ФЗ "О присяжных заседателях федеральных судов общей юрисдикции в Российской Федерации"</t>
  </si>
  <si>
    <t>ст. 5, п. 14</t>
  </si>
  <si>
    <t>23.08.2004, не установлен</t>
  </si>
  <si>
    <t xml:space="preserve">Закон Томской области от 29.12.2007 N 320-ОЗ "Об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</si>
  <si>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 xml:space="preserve">Постановление Администрации Колпашевского района от 30.06.2010 № 862 "Об установлении расходных обязательств по осуществлению отдельных государственных полномочий по составлению (изменению и дополнению) списков кандидатов в присяжные заседатели федеральных судов общей юрисдикции в РФ"         </t>
  </si>
  <si>
    <t>01.07.2010 - до окончания срока действия ЗТО от 29.12.2007 № 320-ОЗ</t>
  </si>
  <si>
    <t>Федеральный закон от 22.10.2004 N 125-ФЗ "Об архивном деле в Российской Федерации"</t>
  </si>
  <si>
    <t>27.10.2004, не установлен</t>
  </si>
  <si>
    <t xml:space="preserve">Закон Томской области от 10.11.2006 N 261-ОЗ "О наделении органов местного самоуправления отдельными государственными полномочиями по хранению, комплектованию, учету и использованию архивных документов, относящихся к собственности Томской области" </t>
  </si>
  <si>
    <t>вводиться в действие ежегодно</t>
  </si>
  <si>
    <t>Постановление Администрации Колпашевского района от 30.06.2010г. № 858 "Об установлении расходного обязательства МО "Колпашевский район" по осуществлению отдельных государственных полномочий по ТО по хранению, комплектованию, учету и использованию архивных документов, относящихся к государственной собственности ТО и находящихся на территории МО "Колпашевский район" (в редакции от 07.04.2011 № 322, от 05.11.2013 № 1170)</t>
  </si>
  <si>
    <t>п.1-4</t>
  </si>
  <si>
    <t>01.07.2010, до окончания срока действия ЗТО от 10.11.2006 № 261-ОЗ</t>
  </si>
  <si>
    <t xml:space="preserve">Закон Томской области от 14.10.2005 N 191-ОЗ "О наделении органов местного самоуправления отдельными государственными полномочиями по расчету и предоставлению дотаций поселениям Томской области за счет средств областного бюджета" </t>
  </si>
  <si>
    <t>п. 1-5</t>
  </si>
  <si>
    <t xml:space="preserve">Постановление Администрации Колпашевского района от 29.06.2010 № 845 "Об установлении расходных обязательств по осуществлению отдельных государственных полномочий по расчету и предоставлению дотаций поселениям, входящим в состав МО "Колпашевский район" </t>
  </si>
  <si>
    <t>01.07.2010, до окончания действия ЗТО от 14.10.2005 № 191-ОЗ</t>
  </si>
  <si>
    <t>Федеральный закон от 29 декабря 2012 г. N 273-ФЗ
"Об образовании в Российской Федерации"</t>
  </si>
  <si>
    <t>01.09.2013, не установлен</t>
  </si>
  <si>
    <t>ст.47, ч.5, п.7</t>
  </si>
  <si>
    <t>Закон Томской области от 15.12.2004 N 248-ОЗ "О наделении органов местного самоуправления отдельными государственными полномочиями по выплате надбавок к тарифной ставке (должностному окладу) педагогическим работникам и руководителям муниципальных образовательных учреждений"</t>
  </si>
  <si>
    <t>ст. 2-5</t>
  </si>
  <si>
    <t>01.01.2006 вводится в действие ежегодно</t>
  </si>
  <si>
    <t>Постановление Администрации Колпашевского района  от 26.06.2010 № 829 "Об установлении расходных обязательств по осуществлению отдельных государственных полномочий по выплате надбавок к тарифной ставке (должностному окладу) педагогическим работникам и руководителм МОУ" (в редакции от 28.11.2013 № 1232)</t>
  </si>
  <si>
    <t xml:space="preserve">01.07.2010-до окончания срока действия ЗТО от 15.12.2004 № 248-ОЗ </t>
  </si>
  <si>
    <t>ст. 8</t>
  </si>
  <si>
    <t xml:space="preserve">Закон Томской области от 11.09.2007 N 188-ОЗ "О наделении органов местного самоуправления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t>
  </si>
  <si>
    <t>ст. 3,6</t>
  </si>
  <si>
    <t>01.01.2008, вводиться ежегодно ЗТО "Об областном бюджете на очередной финансовый год"</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</si>
  <si>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редакцтт от 19.06.2012 № 577, от 13.02.2013 № 119)</t>
  </si>
  <si>
    <t xml:space="preserve">01.07.2010, до окончания срока действия ЗТО от 11.09.2007 № 188-ОЗ </t>
  </si>
  <si>
    <t>Федеральный закон от 24.04.2008 N 48-ФЗ "Об опеке и попечительстве"</t>
  </si>
  <si>
    <t>01.09.2008, не установлен</t>
  </si>
  <si>
    <t>Закон Томской области от 15.12.2004 N 246-ОЗ "О наделении органов местного самоуправления отдельными государственными полномочиями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t>
  </si>
  <si>
    <t>ст.1 п.п.1)</t>
  </si>
  <si>
    <t>п.1.3.</t>
  </si>
  <si>
    <t xml:space="preserve">01.07.2010- до окончания срока действия ЗТО от 15.12.2004 № 246-ОЗ </t>
  </si>
  <si>
    <t>ст.47</t>
  </si>
  <si>
    <t>Закон Томской области от 09.12.2013 N 214-ОЗ "О наделении органов местного самоуправления отдельными государственными полномочиями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</si>
  <si>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ст.5</t>
  </si>
  <si>
    <t>01.01.2014, вводится в действие ежегодно ЗТО о бюджете ТО</t>
  </si>
  <si>
    <t>Постановление Администрации Колпашевского района от 15.01.2014 № 14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214-ОЗ"</t>
  </si>
  <si>
    <t>01.01.2014, до окончания действия ЗТО от 09.12.2013 № 214-ОЗ</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</si>
  <si>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</si>
  <si>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23.12.1996, не установлен</t>
  </si>
  <si>
    <t>ст.1 п.п.5)</t>
  </si>
  <si>
    <t>вводится в действие ежегодно</t>
  </si>
  <si>
    <t>п.1.3</t>
  </si>
  <si>
    <t>01.07.2010, до окончания срока действия ЗТО от 15.12.2004 № 246-ОЗ</t>
  </si>
  <si>
    <t>Кодекс Российской Федерации об административных правонарушениях
от 30 декабря 2001 г. N 195-ФЗ</t>
  </si>
  <si>
    <t>ст.22.1</t>
  </si>
  <si>
    <t>01.07.2002, не установлен</t>
  </si>
  <si>
    <t>Закон Томской области от 24.11.2009 N 261-ОЗ "О наделении органов местного самоуправления отдельными государственными полномочиями по созданию и обеспечению деятельности административных комиссий в Томской области"</t>
  </si>
  <si>
    <t>ст.4</t>
  </si>
  <si>
    <t>Постановление Администрации Колпашевского района от 30.06.2010 № 865 "Об установлении расходного обязательства МО "Колпашевский район" по осуществлению отдельных государственных полномочий по созданию и обеспечению деятельности административных комиссий"</t>
  </si>
  <si>
    <t>01.07.2010, до окончания срока действия ЗТО от 24.11.2009 № 261-ОЗ</t>
  </si>
  <si>
    <t>Федеральный закон от 24.06.1999 N 120-ФЗ "Об основах системы профилактики безнадзорности и правонарушений несовершеннолетних"</t>
  </si>
  <si>
    <t>ст. 2, п.п.2; ст. 11, п.п. 1;  ст. 25, п.п. 1, п.п. 3</t>
  </si>
  <si>
    <t>28.06.1999, не установлен</t>
  </si>
  <si>
    <t>Закон Томской области от 29.12.2005 N 241-ОЗ "О наделении органов местного самоуправления государственными полномочиями по созданию и обеспечению деятельности комиссий по делам несовершеннолетних и защите их прав"</t>
  </si>
  <si>
    <t>Ст. 1-3</t>
  </si>
  <si>
    <t>вводится ежегодно ЗТО об областном бюджете на очередной финансовый год</t>
  </si>
  <si>
    <t>Постановление Администрации Колпашевского района от 30.06.2010 № 860 "Об установлении расходного обязательства муниципального образования "Колпашевский район" по осуществлению отдельных государственных полномочий по созданию и обеспечению деятельности комиссий по делам несовершенннолетних и защите их прав"</t>
  </si>
  <si>
    <t>01.07.2010, до окончания срока действия ЗТО от 29.12.2005 № 241-ОЗ</t>
  </si>
  <si>
    <t>27.12.1998, не установлен</t>
  </si>
  <si>
    <t>Закон Томской области от 28.12.2007 №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t>
  </si>
  <si>
    <t>01.01.2008, вводится ежегодно ЗТО об областном бюджете на очередной финансовый год</t>
  </si>
  <si>
    <t>01.07.2010, до окнчания срока действия ЗТО от 28.12.2007 № 298-ОЗ</t>
  </si>
  <si>
    <t xml:space="preserve">Закон Томской области от 07.07.2009 N 104-ОЗ "О наделении органов местного самоуправления отдельными государственными полномочиями по предоставлению, переоформлению и изъятию горных отводов для разработки месторождений и проявлений общераспространенных полезных ископаемых" </t>
  </si>
  <si>
    <t>ст. 7 п.1</t>
  </si>
  <si>
    <t>Постановление Администрации Колпашевского района от 30.06.2010 № 866 "Об установлении расходного обязательства МО "Колпашевский район" по осуществлению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в Томской области"</t>
  </si>
  <si>
    <t>01.07.2010- до окончания срока действия ЗТО от 07.07.2009 № 104-ОЗ</t>
  </si>
  <si>
    <t>Трудовой кодекс Российской Федерации от 30 декабря 2001 г. N 197-ФЗ (ТК РФ)</t>
  </si>
  <si>
    <t>ст. 407</t>
  </si>
  <si>
    <t>Закон Томской области от 09.12.2013 N 216-ОЗ "О наделении органов местного самоуправления отдельными государственными полномочиями по регистрации коллективных договоров"</t>
  </si>
  <si>
    <t>Постановление Администрации Колпашевского района от 30.12.2013 № 1405 "Об установлении расходных обязательств по осуществлению отдельных государственных полномочий по регистрации коллективных договоров"</t>
  </si>
  <si>
    <t>01.01.2014, до окончания срока действия ЗТО от 09.12.2013 № 216-ОЗ</t>
  </si>
  <si>
    <t>Постановление Главного государственного санитарного врача РФ от 6 мая 2010 г. N 54
"Об утверждении СП 3.1.7.2627-10"</t>
  </si>
  <si>
    <t>раздел IX, п. 9.2.</t>
  </si>
  <si>
    <t>06.05.2010, не установлен</t>
  </si>
  <si>
    <t xml:space="preserve">Закон Томской области от 11.04.2013 N 51-ОЗ "О наделении органов местного самоуправления отдельными государственными полномочиями по регулированию численности безнадзорных животных" </t>
  </si>
  <si>
    <t>01.06.2013, вводится в действие ежегодно ЗТО о бюджете ТО</t>
  </si>
  <si>
    <t>Постановление Администрации Колпашевского района от 02.07.2013 № 625 "Об установлении расходного обязательства муниципального образования "Колпашевский район" по осуществлению отдельных государственных полномочий по Томской области по регулированию численности безнадзорных животных на территории муниципального образования "Колпашевский район"</t>
  </si>
  <si>
    <t>01.06.2013, до окончания действия ЗТО от 11.04.2013 № 51-ОЗ</t>
  </si>
  <si>
    <t>Постановление Правительства РФ от 7 марта 1995 г. N 239 "О мерах по упорядочению государственного регулирования цен (тарифов)"</t>
  </si>
  <si>
    <t>16.03.1995, не установлен</t>
  </si>
  <si>
    <t xml:space="preserve">Закон Томской области от 18.03.2003 N 36-ОЗ "О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</si>
  <si>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ст. 2-4</t>
  </si>
  <si>
    <t>01.05.2006 вводиться в действие ежегодно</t>
  </si>
  <si>
    <t>п.1-6</t>
  </si>
  <si>
    <t>01.07.2010-До окончания срока действия ЗТО от 18.03.2003 № 36-ОЗ</t>
  </si>
  <si>
    <t>Закон Томской области от 09.12.2013 N 213-ОЗ "О наделении органов местного самоуправления отдельными государственными полномочиями по обеспечению предоставления бесплатной методической, психолого 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</si>
  <si>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01.09.2013, вводится в действие ежегодно ЗТО о бюджете ТО</t>
  </si>
  <si>
    <t>Постановление Администрации Колпашевского района от 15.01.2014 № 15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213-ОЗ"</t>
  </si>
  <si>
    <t>01.01.2014, до окончания действия ЗТО от 09.12.2013 № 213-ОЗ</t>
  </si>
  <si>
    <t>Федеральный закон от 25.10.2002 № 125-ФЗ "О жилищных субсидиях гражданам, выезжающим из районов Крайнего Севера и приравненных к ним местностей"</t>
  </si>
  <si>
    <t>ст. 3</t>
  </si>
  <si>
    <t>01.01.2003, не установлен</t>
  </si>
  <si>
    <t xml:space="preserve">Закон Томской области от 13.04.2006 N 73-ОЗ "О наделении органов местного самоуправления государственными полномочиями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t>
  </si>
  <si>
    <t>08.05.2006, вводиться ежегодно ЗТО "Об областном бюджете на очередной финансовый год"</t>
  </si>
  <si>
    <t>Постановление Администрации Колпашевского района от 30.06.2010 № 861 "Об установлении расходного бязательства МО "Колпашевский район" по осуществлению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</si>
  <si>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01.01.2011, не установлен</t>
  </si>
  <si>
    <t>01.01.2013 не установлен</t>
  </si>
  <si>
    <t>Гл.3, ст.15, п. 1, п.п. 20</t>
  </si>
  <si>
    <t>ст. 15</t>
  </si>
  <si>
    <t>Решение Думы Колпашевского района от 16.07.2012 № 91 "Об утверждении Порядка предоставления дотаций на выравнивание бюджетной обеспеченности поселений из бюджета муниципального образования «Колпашевский район»</t>
  </si>
  <si>
    <t>16.07.2012, не установлен</t>
  </si>
  <si>
    <t>Федеральный закон от 28.03.1998 N 53-ФЗ "О воинской обязанности и военной службе"</t>
  </si>
  <si>
    <t>ст. 8, п. 2</t>
  </si>
  <si>
    <t>30.03.1998, не установлен</t>
  </si>
  <si>
    <t xml:space="preserve">Закон Томской области от 29.12.2007 № 308-ОЗ "Об утверждении Методики распределения субвенций, предоставляемых бюджетам поселений Томской области на осуществление полномочий по первичному воинскому учету на территориях, где отсутствуют военные комиссариаты" </t>
  </si>
  <si>
    <t>21.12.2015- 25.12.2015</t>
  </si>
  <si>
    <t>(320)</t>
  </si>
  <si>
    <t xml:space="preserve">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
</t>
  </si>
  <si>
    <t>ст.1</t>
  </si>
  <si>
    <t>1939 (357)</t>
  </si>
  <si>
    <t>Решение Думы Колпашевского района от 21.12.2015 № 51 "О предоставлении иных межбюджетных трансфертов поселениям Колпашевского района на разработку программ комплексного развития коммунальной инфраструктуры"</t>
  </si>
  <si>
    <t>(617)</t>
  </si>
  <si>
    <t xml:space="preserve">ст. 15, ч. 1, п 11.                                                                                                                                                                          </t>
  </si>
  <si>
    <t>ст. 22</t>
  </si>
  <si>
    <t>Решение Думы Колпашевского района от 28.08.2009 № 691 "О введении НСОТ работников муниципальных общеобразовательных учреждений" (в редакции от 07.12.2009 № 742, от 25.12.2009 № 755, от 24.05.2010 № 838, от 24.05.2012 № 83, от 28.05.2014 № 50, от 27.04.2015 № 35)</t>
  </si>
  <si>
    <t xml:space="preserve">01.09.2013, не установлен </t>
  </si>
  <si>
    <t xml:space="preserve">Закон Томской области от 28.12.2010 N 336-ОЗ "О предоставлении межбюджетных трансфертов" </t>
  </si>
  <si>
    <t>абз 7 п.1 ст.1</t>
  </si>
  <si>
    <t>(570)</t>
  </si>
  <si>
    <t>ст. 23</t>
  </si>
  <si>
    <t>Решение Думы Колпашевского района от 26.01.2015 № 1 "Об утверждении Положения о порядке финансирования расходов на создание условий для осуществления присмотра и ухода за детьми, содержание детей в муниципальных образовательных организациях муниципального образования "Колпашевский район" за счет средств бюджета муниципального образования "Колпашевский район"  (в редакции решения от 29.02.2016 № 7)</t>
  </si>
  <si>
    <t xml:space="preserve">28.04.2008, не установлен </t>
  </si>
  <si>
    <t>20.03.2013, не установлен</t>
  </si>
  <si>
    <t>(578)</t>
  </si>
  <si>
    <t>01.09.2019, не установлен</t>
  </si>
  <si>
    <t>01.01.2010, не установлен</t>
  </si>
  <si>
    <t>01.04.2013, не установлен</t>
  </si>
  <si>
    <t>(574)</t>
  </si>
  <si>
    <t>(683)</t>
  </si>
  <si>
    <t>(679)</t>
  </si>
  <si>
    <t>(613)</t>
  </si>
  <si>
    <t xml:space="preserve"> ст. 47, ч.5, п. 7</t>
  </si>
  <si>
    <t>(612)</t>
  </si>
  <si>
    <t xml:space="preserve"> 01.09.2013, не установлен </t>
  </si>
  <si>
    <t xml:space="preserve"> ст. 36, ч.14</t>
  </si>
  <si>
    <t>(660)</t>
  </si>
  <si>
    <t>ст. 15, п.1, п.п. 4</t>
  </si>
  <si>
    <t>Гл.3, ст.15, п.1, п.п.6.2.</t>
  </si>
  <si>
    <t>Гл.3, ст.15, п.1, п.п. 9</t>
  </si>
  <si>
    <t xml:space="preserve">ст. 15, п. 1, п.п 11.                                                                                                                                                                          </t>
  </si>
  <si>
    <t>ст. 22, 23, 24</t>
  </si>
  <si>
    <t xml:space="preserve">ст. 15, п.1, п.п. 11.                                                                                                                                                                                </t>
  </si>
  <si>
    <t>ст. 15, ч.1, п. 11.</t>
  </si>
  <si>
    <t xml:space="preserve">  ст. 9, ч.1, п. 2,5</t>
  </si>
  <si>
    <t>Решение Думы Колпашевского района от 10.12.2005 № 31 "Об утверждении Положения об организации предоставления дополнительного образования и финансирования учреждений дополнительного образования детей в Колпашевском районе" (в редакции решений от 29.05.2015 № 44, от 29.02.2016 № 8)</t>
  </si>
  <si>
    <t xml:space="preserve">Закон Томской области от 12.08.2013 № 149-ОЗ "Об образовании в Томской области" </t>
  </si>
  <si>
    <t xml:space="preserve"> Федеральный закон от 29.12.2012 № 273-ФЗ "Об образовании в Российской Федерации" </t>
  </si>
  <si>
    <t>Федеральный закон от 06.10.2003 № 131-ФЗ "Об общих принципах организации местного самоуправления в РФ"</t>
  </si>
  <si>
    <t>Постановление Администрации Томской области от 13.05.2010 № 94а «О Порядке предоставления из областного бюджета субсидий бюджетам муниципальных образований Томской области и их расходования»</t>
  </si>
  <si>
    <t>Гл.3, ст.15, п.1, п.п.12</t>
  </si>
  <si>
    <t>Гл.3, ст.15, часть 1, п.19.2</t>
  </si>
  <si>
    <t>Решение Думы Колпашевского района от 25.12.2009 № 774 "О порядке использования средств бюджета муниципального образования "Колпашевский район"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 (в редакции от 16.04.2010 № 824, от 23.04.2012 № 66, от 28.04.2014 № 40, от 15.12.2014 № 152, от 25.03.2015 № 28)</t>
  </si>
  <si>
    <t xml:space="preserve">Закон Томской области от 11.09.2007 N 198-ОЗ "О муниципальной службе в Томской области" </t>
  </si>
  <si>
    <t xml:space="preserve">Закон Томской области от 14.05.2005 N 78-ОЗ "О гарантиях и компенсациях за счет средств областного бюджета для лиц, проживающих в местностях, приравненных к районам Крайнего Севера" </t>
  </si>
  <si>
    <t>Закон РФ от 19.02.1993 N 4520-I "О государственных гарантиях и компенсациях для лиц, работающих и проживающих в районах Крайнего Севера и приравненных к ним местностях"</t>
  </si>
  <si>
    <t>Федеральный закон от 12.06.2002 N 67-ФЗ "Об основных гарантиях избирательных прав и права на участие в референдуме граждан Российской Федерации"</t>
  </si>
  <si>
    <t>Закон Томской области от 12.01.2007 N 29-ОЗ "О референдуме Томской области и местном референдуме"</t>
  </si>
  <si>
    <t>ст. 17, п.1, п.п.1</t>
  </si>
  <si>
    <t>Гл.3, ст.17, п. 1, п.п. 9.</t>
  </si>
  <si>
    <t>Гл.3, ст.20, п. 5.</t>
  </si>
  <si>
    <t>Федеральный закон от 21.12.1996 N 159-ФЗ "О дополнительных гарантиях по социальной поддержке детей-сирот и детей, оставшихся без попечения родителей"</t>
  </si>
  <si>
    <t>Гл.3, ст.15.1. п. 1, п.п. 8.</t>
  </si>
  <si>
    <t>Постановление Администрации Колпашевского района от 02.04.2010 № 512 "Об утверждении Методологии расчёта долговой нагрузки на бюджет муниципального образования "Колпашевский район"  с учётом действующих и планируемых к принятию долговых обязательств  на  среднесрочный прогноз"</t>
  </si>
  <si>
    <t>02.04.2010, не установлен</t>
  </si>
  <si>
    <t>Постановление Главы Колпашевского района от 22.06.2009 № 566 "Об утверждении Положения о порядке ведения муниципальной долговой книги муниципального образования "Колпашевский район"</t>
  </si>
  <si>
    <t>22.06.2009, не установлен</t>
  </si>
  <si>
    <t>28.04.2014, не установлен</t>
  </si>
  <si>
    <t>16.04.2015, не установлен</t>
  </si>
  <si>
    <t>Закон Томской области от 29.12.2015 N 215-ОЗ "О наделении органов местного самоуправления отдельными государственными полномочиями на подготовку и проведение на территории Томской области Всероссийской сельскохозяйственной переписи в 2016 году"</t>
  </si>
  <si>
    <t>Федеральный закон от 21 июля 2005 г. N 108-ФЗ
"О Всероссийской сельскохозяйственной переписи"</t>
  </si>
  <si>
    <t>21.06.2005, не установлен</t>
  </si>
  <si>
    <t>1101</t>
  </si>
  <si>
    <t>0102</t>
  </si>
  <si>
    <t>0103</t>
  </si>
  <si>
    <t>0104</t>
  </si>
  <si>
    <t>0106</t>
  </si>
  <si>
    <t>0111</t>
  </si>
  <si>
    <t>0113</t>
  </si>
  <si>
    <t>1004</t>
  </si>
  <si>
    <t>1020</t>
  </si>
  <si>
    <t>0309</t>
  </si>
  <si>
    <t>1010</t>
  </si>
  <si>
    <t>0405</t>
  </si>
  <si>
    <t>0406</t>
  </si>
  <si>
    <t>0408</t>
  </si>
  <si>
    <t>0409</t>
  </si>
  <si>
    <t>1006</t>
  </si>
  <si>
    <t>0412</t>
  </si>
  <si>
    <t>0502</t>
  </si>
  <si>
    <t>0503</t>
  </si>
  <si>
    <t>0701</t>
  </si>
  <si>
    <t>0702</t>
  </si>
  <si>
    <t>0707</t>
  </si>
  <si>
    <t>0709</t>
  </si>
  <si>
    <t>0801</t>
  </si>
  <si>
    <t>0804</t>
  </si>
  <si>
    <t>1003</t>
  </si>
  <si>
    <t>1102</t>
  </si>
  <si>
    <t>1301</t>
  </si>
  <si>
    <t>итого</t>
  </si>
  <si>
    <t>0203</t>
  </si>
  <si>
    <t>0310</t>
  </si>
  <si>
    <t>0501</t>
  </si>
  <si>
    <t>0401</t>
  </si>
  <si>
    <t>22.06.2015, не установлен</t>
  </si>
  <si>
    <t>Решение Думы Колпашевского района от 19.12.2012 № 160 "О Почетной грамоте и Благодарственном письме
Думы Колпашевского района" (в редакции от 25.11.2013 № 110, от 21.12.2015 № 64)</t>
  </si>
  <si>
    <t>Решение Думы Колпашевского района от 13.08.2014 № 75 "О финансировании за счет средств бюджета муниципального образования "Колпашевский район" мероприятий, направленных на поддержку садоводчиских, огороднических и дачных некомерческих объединений"</t>
  </si>
  <si>
    <t xml:space="preserve">Постановление Администрации Колпашевского района от 30.06.2010 № 855 "Об установлении расходных обязательств по осуществлению отдельных государственных полномочий по государственной поддержке сельскохозяйственного производства" </t>
  </si>
  <si>
    <t>01.07.2010, до окончания действия ЗТО от 29.12.2005 № 248-ОЗ</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</si>
  <si>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редакции от 13.02.2013 № 119, от 19.06.2012 № 577, от 13.02.2013 № 119)</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</si>
  <si>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расширенре рынка сельскохозяйственной продукции, сырья, продовольствия" (в редакции от 27.11.2015 № 44)</t>
  </si>
  <si>
    <t>(661)</t>
  </si>
  <si>
    <t>(658)</t>
  </si>
  <si>
    <t>(657)</t>
  </si>
  <si>
    <t>29.09.2015- 31.12.2020</t>
  </si>
  <si>
    <t>Постановление Администрации Колпашевского района от 29.12.2011 № 1426 "Об утверждении Порядка использования бюджетных ассигнований резервного фонда Администрации Колпашевского района" (в редакции от 26.01.2012 № 61, от 15.04.2014 № 344, от 03.04.2015 № 379, от 26.05.2016 № 578)</t>
  </si>
  <si>
    <t>Решение Думы Колпашевского района от 24.05.2012 № 84 "Об утверждении Положения об организации  отдыха  детей в каникулярное время на территории муни ципального образования "Колпашевский район" (в редакции от 27.03.2013 № 25, от 30.01.2014 № 5, от 30.05.2016 № 42)</t>
  </si>
  <si>
    <t>25.11.2013- 31.12.2020</t>
  </si>
  <si>
    <t>21.03.2016- 31.12.2020</t>
  </si>
  <si>
    <t>подпрограмма</t>
  </si>
  <si>
    <t>01.01.2016-31.12.2021</t>
  </si>
  <si>
    <t>01.01.2014- 31.12.2020</t>
  </si>
  <si>
    <t>Постановление Администрации Томской области от 26.04.2012 N 163а "Об утверждении Порядка предоставления иных межбюджетных трансфертов на исполнение судебных актов по обеспечению жилыми помещениями детей-сирот и детей, оставшихся без попечения родителей,а также лиц из их числа"</t>
  </si>
  <si>
    <t>п.2,3 порядка</t>
  </si>
  <si>
    <t>01.01.2012, не установлен</t>
  </si>
  <si>
    <t>Федеральный закон от 29.12.2006 N 264-ФЗ "О развитии сельского хозяйства"</t>
  </si>
  <si>
    <t>ст.7, п.1-2</t>
  </si>
  <si>
    <t>11.01.2007, не установлен</t>
  </si>
  <si>
    <t>Закон Томской области от 29.12.2005 N 248-ОЗ "О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t>
  </si>
  <si>
    <t>ст. 4,5</t>
  </si>
  <si>
    <t>Закон Российской Федерации от 21.02.1992 N 2395-I "О недрах"</t>
  </si>
  <si>
    <t>ст.3</t>
  </si>
  <si>
    <t>21.02.1992, не установлен</t>
  </si>
  <si>
    <t>Постановление Администрации Томской области от 17.09.2014 N 341а "О предоставлении из областного бюджета бюджетам муниципальных образований Томской области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помещениях, закрепленных за муниципальными учреждениями на праве оперативного управления или принадлежащих им на ином праве, определенных в качестве пунктов временного размещения"</t>
  </si>
  <si>
    <t>30.09.2014, не установлен</t>
  </si>
  <si>
    <t xml:space="preserve">Решение Думы Колпашевского района  от 23.04.2012 № 46 " О порядке расходования денежных средств, выделенных бюджету муниципального образования "Колпашевский район" из бюджета Томской области"
</t>
  </si>
  <si>
    <t>01.04.2012, не установлен</t>
  </si>
  <si>
    <t>01.01.2016, не установлен</t>
  </si>
  <si>
    <t>Решение Думы Колпашевского района от 28.06.2016 № 56 "О порядке и случаях использования собственных материальных ресурсов и финансовых средств муниципального образования "Колпашевский район" для осуществления переданных полномочий по решению вопросов местного значения поселений Колпашевского района"</t>
  </si>
  <si>
    <t>28.06.2016, не установлен</t>
  </si>
  <si>
    <t>01.01.2017, не установлен</t>
  </si>
  <si>
    <t>(619) (620)</t>
  </si>
  <si>
    <t>0105</t>
  </si>
  <si>
    <t>Постановление Администрации Колпашевского района от 18.07.2016 № 801 "Об установлении расходного обязательства муниципального образования "Колпашевский район" по осуществлению отдельных государственных полномочий на подготовку и проведение на территории Томской области Всероссийской сельскохозяйственной переписи в 2016 году"</t>
  </si>
  <si>
    <t>период действия ЗТО от 29.12.2015 № 215-ОЗ</t>
  </si>
  <si>
    <t>23.05.2012, не установлен</t>
  </si>
  <si>
    <r>
      <t>наименование, номер и дата</t>
    </r>
    <r>
      <rPr>
        <b/>
        <sz val="9"/>
        <rFont val="Times New Roman"/>
        <family val="1"/>
      </rPr>
      <t xml:space="preserve">
</t>
    </r>
  </si>
  <si>
    <t>25.04.2014, не установлен</t>
  </si>
  <si>
    <t>Постановление Администрации Колпашевского района от 29.01.2013 № 51 "О порядке расходования средств межбюджетных трансфертов на выплату стипендии Губернатора Томской области молодым учителям" (в редакции от 24.01.2014 № 58, от 14.10.2016 № 1137)</t>
  </si>
  <si>
    <t xml:space="preserve">Решение Думы Колпашевского района от 23.04.2012 № 67 "О порядке использования средств бюджета муниципального образования «Колпашевский район»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организаций культуры" (в редакции от 25.11.2013 № 105, от 22.09.2014 № 92, от 15.12.2014 № 153, от 25.03.2015 № 27, от 07.09.2015 № 82, от 27.11.2015 № 38, от 30.05.2016 № 48, от 20.10.2016 № 97)
</t>
  </si>
  <si>
    <t>Постановление Главы Колпашевского района от 25.04.2014 № 68 "Об утверждении положения об оплате труда и ежегодных основных оплачиваемых отпусках, ежегодных дополнительных оплачиваемых отпусках работников муниципальных архивных учреждений" (в редакции от 04.10.2016 № 233)</t>
  </si>
  <si>
    <t>(571)</t>
  </si>
  <si>
    <t>(564) (565) (628) (663)</t>
  </si>
  <si>
    <t>01.09.2015, не установлен</t>
  </si>
  <si>
    <t>0107</t>
  </si>
  <si>
    <t>0703</t>
  </si>
  <si>
    <t>(590)</t>
  </si>
  <si>
    <t>(100 303)</t>
  </si>
  <si>
    <t>(208 567)</t>
  </si>
  <si>
    <t>Постановление Администрации Колпашевского района от 16.12.2015 № 1301 "Об утверждении Порядка формирования муниципального задания в отношении муниципальных учреждений муниципального образования "Колпашевский район" и Порядка финансового обеспечения выполнения муниципального задания муниципальными учреждениями в муниципальном образовании "Колпашевский район" (в редакции от 18.01.2016 № 11, от 06.07.2016 № 738, от 11.11.2016 № 1250)</t>
  </si>
  <si>
    <t>Закон РФ от 09.10.1992 N 3612-I "Основы законодательства Российской Федерации о культуре"</t>
  </si>
  <si>
    <t>09.10.1992, не установлен</t>
  </si>
  <si>
    <t>Федеральный закон от 04.12.2007 N 329-ФЗ "О физической культуре и спорте в Российской Федерации"</t>
  </si>
  <si>
    <t>ст.9</t>
  </si>
  <si>
    <t>30.03.2008, не установлен</t>
  </si>
  <si>
    <t>Закон Томской области от 07.06.2010 N 94-ОЗ "О физической культуре и спорте в Томской области"</t>
  </si>
  <si>
    <t>27.06.2010, не установлен</t>
  </si>
  <si>
    <t>ст.19-1</t>
  </si>
  <si>
    <t>(499 710)</t>
  </si>
  <si>
    <t>(100 308)</t>
  </si>
  <si>
    <t>(100 300)</t>
  </si>
  <si>
    <t>(100 307)</t>
  </si>
  <si>
    <t>Решение Думы Колпашевского района от 19.11.2012 № 142 "Об утверждении Положения «О звании «Почётный гражданин Колпашевского района» (в редакции от 28.03.2017 № 17)</t>
  </si>
  <si>
    <t>Решение Думы Колпашевского района от 28.03.2017 № 15 "О финансировании расходов на обеспечение условий для развития физической культуры и массового спорта на территории Колпашевского района"</t>
  </si>
  <si>
    <t>28.10.2009, не установлен</t>
  </si>
  <si>
    <t>Решение Думы Колпашевского района от 15.12.2014 № 150 "О принятии муниципальным образованием "Колпашевский район" осуществления части полномочий по решению вопроса местного значения "Организация библиотечного обслуживания населения, комплектование и обеспечение сохранности библиотечных фондов библиотек поселения" (в редакции от 29.02.2016 № 9)</t>
  </si>
  <si>
    <t>Постановление Администрации Колпашевского района от 30.12.2014 № 1636 "Об утверждении Порядка организации библиотечного обслуживания населения сельских поселений Колпашевского района, комплектования и обеспечения сохранности библиотечных фондов библиотек сельских поселений Колпашевского района"</t>
  </si>
  <si>
    <t>17.06.2013, не установлен</t>
  </si>
  <si>
    <t>14.05.2015, не установлен</t>
  </si>
  <si>
    <t>27.02.2017- 31.12.2018</t>
  </si>
  <si>
    <t>(499 711)</t>
  </si>
  <si>
    <t>(100 315)</t>
  </si>
  <si>
    <t>(100 314)</t>
  </si>
  <si>
    <t>(100 312)</t>
  </si>
  <si>
    <t>(100 311)</t>
  </si>
  <si>
    <t>23.05.2013, не установлен</t>
  </si>
  <si>
    <t>Решение Думы Колпашевского района от 28.04.2014 № 42 "О финансировании расходов на создание условий для оказания медицинской помощи населению на территории Колпашевского района" (в редакции от 22.09.2014 № 90, от 15.12.2014 № 159, от 02.11.2015 № 8, от 29.01.2016 № 3, от 29.02.2016 № 10, от 27.04.2017 № 29)</t>
  </si>
  <si>
    <t>02.05.2017-20.12.2017</t>
  </si>
  <si>
    <t>(499 712)</t>
  </si>
  <si>
    <t>(499 713)</t>
  </si>
  <si>
    <t>(100 318)</t>
  </si>
  <si>
    <t>(100 319)</t>
  </si>
  <si>
    <t>(100 317)</t>
  </si>
  <si>
    <t>(100 316)</t>
  </si>
  <si>
    <t>Решение думы Колпашевского района от 31.05.2006 № 154 "Об учреждении Управления образования Администрации Колпашевского района и утверждении Положения об Управлении образования Администрации Колпашевского района" (в редакции от 31.10.2006 № 221, от 14.02.2011 № 2, от 20.06.2011 № 58, от 30.01.2014 № 4, от 29.05.2015 № 45,от 02.11.2015 № 7, от 30.05.2017 № 40)</t>
  </si>
  <si>
    <t>(100 321)</t>
  </si>
  <si>
    <t>(499 714)</t>
  </si>
  <si>
    <t>(409 702)</t>
  </si>
  <si>
    <t>(100 322)</t>
  </si>
  <si>
    <t>(203 696)</t>
  </si>
  <si>
    <t>(210 615)</t>
  </si>
  <si>
    <t>(210 616)</t>
  </si>
  <si>
    <t>Постановление Администрации Колпашевского района от 27.02.2017 № 137 "Об установлении на 2017-2018 годы расходного обязательства муниципального образования "Колпашевский район" (в редакции от 05.07.2017 № 636)</t>
  </si>
  <si>
    <t>Решение Думы Колпашевского района от 27.04.2017 № 28 "О финансировании расходов на организацию мероприятий, направленных на закрепление специалистов в отрасли культуры"</t>
  </si>
  <si>
    <t>27.04.2017, не установлен</t>
  </si>
  <si>
    <t>Решение думы Колпашевского района от 27.04.2017 № 27 "О финансировании за счет средств бюджета муниципального образования "Колпашевский район" расходов на поддержку и развитие Центров общественного доступа, расположенных в муниципальных учреждениях культуры муниципального образования "Колпашевский район"</t>
  </si>
  <si>
    <t>(499 715)</t>
  </si>
  <si>
    <t>(499 716)</t>
  </si>
  <si>
    <t>(100 336)</t>
  </si>
  <si>
    <t>(100 324)</t>
  </si>
  <si>
    <t>(100 326)</t>
  </si>
  <si>
    <t>(100 327)</t>
  </si>
  <si>
    <t>(100 329)</t>
  </si>
  <si>
    <t>(100 331)</t>
  </si>
  <si>
    <t>(100 332)</t>
  </si>
  <si>
    <t>(100 334)</t>
  </si>
  <si>
    <t>(100 335)</t>
  </si>
  <si>
    <t>(100 338)</t>
  </si>
  <si>
    <t>0505</t>
  </si>
  <si>
    <t>01.01.2016- 31.12.2025</t>
  </si>
  <si>
    <t>(219 705)</t>
  </si>
  <si>
    <t>Решение Думы Колпашевского района от 27.07.2017 № 72 "О предоставлении бюджетам муниципальных образований: "Саровское сельское поселение", "Новогоренское сельское поселение", "Инкинское сельское поселение", "Новоселовское сельское поселение", иных межбюджетных трансфертов на проведение выборов депутатов представительных органов сельских поселений Колпашевского района"</t>
  </si>
  <si>
    <t>27.07.2017- 01.10.2017</t>
  </si>
  <si>
    <t>(100 341)</t>
  </si>
  <si>
    <t>(100 339)</t>
  </si>
  <si>
    <t>(499 717)</t>
  </si>
  <si>
    <t>(499 718)</t>
  </si>
  <si>
    <t>Постановление Главы Колпашевского района от 13.09.2017 № 188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</si>
  <si>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13.09.2017- 18.12.2017</t>
  </si>
  <si>
    <t>Решение Думы Колпашевского района от 28.09.2017 № 80 "О финансировании расходов, связанных с осуществлением перевозок общественным транспортом обучающихся муниципальных общеобразовательных организаций Колпашевского района"</t>
  </si>
  <si>
    <t>28.09.2017- не установлен</t>
  </si>
  <si>
    <t>Решение Думы Колпашевского района от 17.06.2013 № 58 "О порядке использования средств бюджета муниципального образования "Колпашевский район" на финансирование мероприятий, направленных на создание условий по развитию туризма" (в редакции от 28.06.2016 № 55, от 28.09.2017 № 81)</t>
  </si>
  <si>
    <t>Решение Думы Колпашевского района от 28.09.2017 № 94 "О финансировании проведения полевых археологических работ (археологическая разведка)"</t>
  </si>
  <si>
    <t>28.09.2017, не установлен</t>
  </si>
  <si>
    <t>(499 721)</t>
  </si>
  <si>
    <t>(499 720)</t>
  </si>
  <si>
    <t>(499 719)</t>
  </si>
  <si>
    <t>04.10.2017- 17.11.2017</t>
  </si>
  <si>
    <t>Постановление Администрации Колпашевского района от 02.05.2017 № 398 "О порядке расходования средств субсидии из областного бюджета на реализацию мероприятия "Поддержка обустройства мест массового отдыха населения (городских парков)" подпрограммы "Обеспечение доступности и комфортности жилища, формирование качественной жилой среды" государственной программы "Обеспечение доступности жилья и улучшение качества жилищных условий населения Томской области" (в редакции от 15.05.2017 № 423, от 23.11.2017 № 1243)</t>
  </si>
  <si>
    <t>(100 343)</t>
  </si>
  <si>
    <t>Постановление Администрации Колпашевского района от 04.10.2017 № 1014 "О предоставлении средств иных межбюджетных трансфертов бюджету муниципального образования "Колпашевское городское поселение" на реализацию мероприятий, направленных на развитие сферы туризма в Колпашевском районе" (в редакции от 11.10.2017 № 1041)</t>
  </si>
  <si>
    <t>Проект на 2018 год</t>
  </si>
  <si>
    <t>Постановление Администрации Томской области от 12.12.2014 N 484а "Об утверждении государственной программы "Развитие транспортной системы в Томской области"</t>
  </si>
  <si>
    <t>Подпрограмма 2, мероприятие 23</t>
  </si>
  <si>
    <t>Постановление Администрации Томской области от 27.02.2008 № 32а "Об утверждении Порядка использования бюджетных ассигнований резервного фонда финансирования непредвиденных расходов Администрации Томской области"</t>
  </si>
  <si>
    <t>27.02.2008, не установлен</t>
  </si>
  <si>
    <t>Гл.3, ст.15, п.1, п.п.7</t>
  </si>
  <si>
    <t xml:space="preserve">01.09.2013, не указан </t>
  </si>
  <si>
    <t>п.2, пп.68</t>
  </si>
  <si>
    <t>Постановление Администрации Томской области от 24.06.2014 № 244а «О Порядке предоставления иных межбюджетных трансфертов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t>
  </si>
  <si>
    <t>24.06.2014, не установлен</t>
  </si>
  <si>
    <t>ст.40</t>
  </si>
  <si>
    <t>п.2-3, п.п.2</t>
  </si>
  <si>
    <t>п. 2-3, п.п. 1</t>
  </si>
  <si>
    <t>Постановление Администрации Томской области от 12.12.2014 № 489а "Об утверждении государственной программы "Развитие культуры и туризма в Томской области"</t>
  </si>
  <si>
    <t>Подпрограмма 1 п.2, прил. № 3</t>
  </si>
  <si>
    <t>Постановление Администрации Томской области от 12.12.2014 N 492а "Об утверждении долгосрочной целевой программы "Развитие малого и среднего предпринимательства в Томской области на период 2011-2014 годов"</t>
  </si>
  <si>
    <t>прил. 7</t>
  </si>
  <si>
    <t>Постановление Администрации Колпашевского района от 01.10.2012 № 978 "Об утверждении долгосрочной целевой программы  "Развитие малого и среднего предпринимательства в Колпашевском районе на 2013 - 2018 годы" (в редакции от 14.03.2013 № 239, от 12.07.2013 № 694, от 05.08.2013 № 782, от 04.09.2013 № 921, от 07.04.2014 № 320, от 20.06.2014 № 582, от 15.10.2014 № 1197, от 13.03.2015 № 292, от 07.08.2015 № 753, от 05.11.2015 № 1123, от 21.01.2016 № 2, от 01.03.2016 № 214, от 16.09.2016 № 1071, от 13.12.2016 № 1345, от 27.12.2017 № 1371)</t>
  </si>
  <si>
    <t>Постановление Администрации Томской области от 13.05.2010 № 94а "О Порядке предоставления из областного бюджета субсидий бюджетам муниципальных образований Томской области и их расходования"</t>
  </si>
  <si>
    <t>п.2-4, п.п 1</t>
  </si>
  <si>
    <t>Постановление Админи страции Томской области от 12.12.2014 № 488а "Об утверждении государственной программы "Развитие молодежной политики, физической культуры и спорта в Томской области"</t>
  </si>
  <si>
    <t>Подпрограмма 3</t>
  </si>
  <si>
    <t xml:space="preserve"> 01.01.2009, не установлен</t>
  </si>
  <si>
    <t>Решение Думы Колпашевского района от 10.12.2005 № 35 "Об утверждении Положения о порядке официального опубликования (обнародования) муниципальных правовых актов и иной официальной информации" (в редакции от 27.10.2008 № 558, от 27.03.2009 № 624, от 30.01.2014 № 11, от 22.06.2015 № 62, от 28.09.2017 № 85)</t>
  </si>
  <si>
    <t>Постановление Правительства РФ от 17.12.2010 N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</si>
  <si>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01.01.2010 -31.12.2020</t>
  </si>
  <si>
    <t>Постановление Администрации Томской области от 12.12.2014 № 490а "Об утверждении государственной программы "Обеспечение доступности жилья и улучшение качества жилищных условий населения Томской области"</t>
  </si>
  <si>
    <t>Подпрограмма "Обеспечение жильем молодых семей в Томской области"</t>
  </si>
  <si>
    <t>01.07.2010, не установлен</t>
  </si>
  <si>
    <t>(100 313)</t>
  </si>
  <si>
    <t xml:space="preserve">Федеральный Закон от 06.10.2003 № 131-ФЗ "Об общих принципах организации местного самоуправления"
</t>
  </si>
  <si>
    <t xml:space="preserve">Ст. 15, п.1, пп.26
</t>
  </si>
  <si>
    <t xml:space="preserve">Ст. 15.1, п.1, пп.8
</t>
  </si>
  <si>
    <t>Решение Думы Колпашевского района от 22.12.2017 № 116 "О предоставлении иных межбюджетных трансфертов бюджету муниципального образования "Колпашевское городское поселение"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 в 2018 году"</t>
  </si>
  <si>
    <t>01.01.2018- 22.12.2018</t>
  </si>
  <si>
    <t>(300) (100 304)</t>
  </si>
  <si>
    <t>(100 305)</t>
  </si>
  <si>
    <t>(218 687)</t>
  </si>
  <si>
    <t>(213 587)</t>
  </si>
  <si>
    <t>(217 704)</t>
  </si>
  <si>
    <t>Постановление Администрации Колпашевского района от 19.01.2018 № 12 "О предоставлении иных межбюджетных трансфертов бюджету муниципального образования "Саровское сельское поселение" на подготовку спортивных сооружений к проведению межпоселенческой спартакиады в п. Б.Саровка в 2018 году"</t>
  </si>
  <si>
    <t>19.01.2018- 01.05.2018</t>
  </si>
  <si>
    <t>30.01.2018- 26.12.2018</t>
  </si>
  <si>
    <t>Постановление Администрации Колпашевского района от 07.02.2018 № 93 "Об утверждении положений о предоставлении субсидий сельскохозяйственным товаропроизводителям из бюджета муниципального образования "Колпашевский район"</t>
  </si>
  <si>
    <t>01.01.2018, не установлен</t>
  </si>
  <si>
    <t>23.05.2013- 31.12.2018</t>
  </si>
  <si>
    <t>26.02.2018- 31.12.2018</t>
  </si>
  <si>
    <t>Решение Думы Колпашевского района от 25.11.2013 № 106 "О финансировании за счёт бюджета муниципального образования "Колпашевский район" мероприятий, направленных на поддержку решения жилищной проблемы молодых семей" (в редакции от 15.12.2014 № 157, от 30.05.2016 № 47, от 26.02.2018 № 6)</t>
  </si>
  <si>
    <t>26.02.2018- 23.12.2018</t>
  </si>
  <si>
    <t>Решение Думы Колпашевского района от 26.02.2018 № 11 "О предоставлении иных межбюджетных трансфертов бюджету муниципального образования "Чажемтовское сельское поселение" на выполнение работ по координатному описанию границ населенных пунктов Чажемтовского сельского поселения"</t>
  </si>
  <si>
    <t>26.02.2018- 20.12.2018</t>
  </si>
  <si>
    <t>Решение Думы Колпашевского района от 26.02.2018 № 14 "О предоставлении иных межбюджетных трансфертов бюджету муниципального образования "Чажемтовское поселение" на ремонт сетей водоснабжения с.Чажемто"</t>
  </si>
  <si>
    <t>26.02.2018- 31.10.2018</t>
  </si>
  <si>
    <t>01.01.2018- 31.12.2018</t>
  </si>
  <si>
    <t>ПостановлениеАдминистрации Колпашевского района от 16.08.2013 № 834 "Об утверждении муниципальной программы "Устойчивое развитие сельских территорий муниципального образования Колпашевский район Томской области на 2014-2017 годы и на период до 2020 года" (в редакции от 02.06.2014 № 506, от 18.08.2014 № 807, от 29.12.2014 № 1631, от 17.06.2015, от 24.09.2015 № 976, от 18.12.2015 № 1326, от 06.09.2016 № 1025, от 29.09.2016 № 1098, от 27.12.2016 № 1424, от 02.06.2017 № 504, от 27.12.2017 № 1366)</t>
  </si>
  <si>
    <t>25.11.2015, не установлен</t>
  </si>
  <si>
    <t>Постановление Администрации Колпашевского района от 25.11.2015 № 1191 "О порядке предоставления субсидий субъектам малого и среднего предпринимательства, осуществляющим деятельность в сфере рыбного хозяйства" (в редакции от 07.12.2015 № 1246, от 16.12.2015 № 1300, от 29.06.2017 № 609, от 27.12.2017 № 1373, от 01.02.2018 № 66)</t>
  </si>
  <si>
    <t>Постановление Администрации Колпашевского района от 30.06.2010 № 863 "Об установлении расходных обязательств  муниципального образования "Колпашевский район" по осуществлению отдельных государственных полномочий" (в редакции от 19.06.2012 № 577, от 13.02.2013 № 119)</t>
  </si>
  <si>
    <t>Постановление Администрации Колпашевского района от 20.03.2013 № 263 "О порядке расходования средств субсидии на организацию отдыха детей Колпашевского района в каникулярное время" (в редакции от 17.03.2014 № 233, от 23.05.2016 № 540, от 06.03.2018 № 177)</t>
  </si>
  <si>
    <t>Постановление Администрации Колпашевского района от 16.11.2015 № 1160 "Об утверждении муниципальной программы "Развитие муниципальной системы образования Колпашевского района" (в редакции от 12.04.2016 № 371, от 15.08.2016 № 898, от 06.12.2016 № 1328, от 10.03.2017 № 196, от 29.12.2017 № 1380)</t>
  </si>
  <si>
    <t xml:space="preserve">1.Расходные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
</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</si>
  <si>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</si>
  <si>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1.1.1.3. владение, пользование и распоряжение имуществом, находящимся в муниципальной собственности муниципального района</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</si>
  <si>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</si>
  <si>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</si>
  <si>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</si>
  <si>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1.2.16.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</si>
  <si>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</si>
  <si>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(605)</t>
  </si>
  <si>
    <t>Наименование полномочия, 
расходного обязательства</t>
  </si>
  <si>
    <t>Правовое основание финансового обеспечения полномочия, расходного обязательства муниципального образования</t>
  </si>
  <si>
    <t>499 711</t>
  </si>
  <si>
    <t xml:space="preserve">Решение Думы Колпашевского района от 29.03.2018 № 22 "О предоставлении иных межбюджетных трансфертов бюджету 
муниципального образования «Колпашевское городское поселение» на приобретение газовой котельной"
</t>
  </si>
  <si>
    <t>29.03.2018- 20.07.2018</t>
  </si>
  <si>
    <t>(225 655)</t>
  </si>
  <si>
    <t>(225 656)</t>
  </si>
  <si>
    <t>(206 604)</t>
  </si>
  <si>
    <t>Постановление Администрации Колпашевского района от 09.04.2014 № 324 "О порядке расходования средств субсидии из областного бюджета на стимулирующие выплаты в муниципальных организациях дополнительного образования в Томской области (в редакции постановлений от 16.03.2015 № 294, от 21.03.2016 № 286, от 17.03.2017 № 227, от 26.03.2018 № 251)</t>
  </si>
  <si>
    <t>01.01.2014- 31.12.2018</t>
  </si>
  <si>
    <t>Постановление Администрации Колпашевского района от 23.05.2012 № 496 "Об утверждении Порядка финансирования официальных физкультурно-оздоровительных и спортивных мероприятий муниципального образования "Колпашевский район" (в редакции постановлений Администрации Колпашевского района от 23.07.2012 № 702, от 31.08.2012 № 859, от 28.03.2013 № 292, от 03.07.2013 № 632, от 18.07.2013 № 711, от 23.08.2013 № 866, от 16.09. 2013 № 974, от 25.10.2013 № 1138, от 06.02.2014 №104, от 23.06.2014 № 585; от 06.10.2014 № 1145; от 04.03.2015 № 268; от 14.04.2015 № 407, от 12.11.2015 № 1147, от 12.04.2016 №372, от 10.08.2016 № 888, от 21.06.2017 № 584, от 05.04.2018 № 294)</t>
  </si>
  <si>
    <t>Постановление Главы Колпашевского района от 05.04.2018 № 62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</si>
  <si>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Решение Думы Колпашевского района от 25.03.2015 № 29 "О принятии муниципальным образованием "Колпашевский район" осуществления части полномочий по решению вопросов местного значения" (в редакции от 24.08.2016 № 65)</t>
  </si>
  <si>
    <t>25.03.2015, не установлен</t>
  </si>
  <si>
    <t>ст.15 п.1 пп.19</t>
  </si>
  <si>
    <t>ст.15 п.1 пп.1</t>
  </si>
  <si>
    <t>05.04.2018- 10.12.2018</t>
  </si>
  <si>
    <t>09.04.2018- 01.12.2018</t>
  </si>
  <si>
    <t>499 710</t>
  </si>
  <si>
    <t>499 713</t>
  </si>
  <si>
    <t>1201</t>
  </si>
  <si>
    <t>1206</t>
  </si>
  <si>
    <t>1307</t>
  </si>
  <si>
    <t>1034</t>
  </si>
  <si>
    <t>1021</t>
  </si>
  <si>
    <t>1202</t>
  </si>
  <si>
    <t>Постановление Главы Колпашевского района от 19.04.2018 № 74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29.03.2018 № 66-р-в)</t>
  </si>
  <si>
    <t>19.04.2018- 01.12.2018</t>
  </si>
  <si>
    <t>Постановление Главы Колпашевского района от 24.04.2018 № 75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</si>
  <si>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24.04.2018- 01.11.2018</t>
  </si>
  <si>
    <t>Постановление Главы Колпашевского района от 24.04.2018 № 76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</si>
  <si>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24.04.2018- 05.10.2018</t>
  </si>
  <si>
    <t>Постановление Администрации Колпашевского района от 26.04.2018 № 371 "О распределении средств иных межбюджетных трансфертов на поощрение поселенческих команд, учавствовавших в XI зимней межпоселенческой спартакиаде в п.Б.Саровка, из бюджета муниципального образования "Колпашевский район" в 2018 году</t>
  </si>
  <si>
    <t>26.04.2018- 23.08.2018</t>
  </si>
  <si>
    <t>27.04.2018- 20.12.2018</t>
  </si>
  <si>
    <t>Решение Думы Колпашевского района от 27.04.2018 № 29 "О предоставлении иных межбюджетных трансфертов бюджету муниципального образования "Чажемтовское сельское поселение" на ремонт инженерных сетей в с.Чажемто"</t>
  </si>
  <si>
    <t>Решение Думы Колпашевского района от 27.04.2018 № 30 "О предоставлении иных межбюджетных трансфертов бюджету муниципального образования "Инкинское сельское поселение" на финансовое обеспечение (возмещение) затрат, связанных с организацией электроснабжения от дизельных электростанций с.Копыловка"</t>
  </si>
  <si>
    <t>Постановление Администрации Колпашевского района от 16.05.2018 № 415 "О порядке использования средств муниципальной программы "Обеспечение безопасности населения Колпашевского района", предусмотренных на организацию видеонаблюдения в образовательных"</t>
  </si>
  <si>
    <t>16.05.2018- 20.12.2018</t>
  </si>
  <si>
    <t>31.05.2018- 20.12.2018</t>
  </si>
  <si>
    <t>Постановление Главы Колпашевского района от 01.06.2018 № 99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27.03.2018 № 149-ра)</t>
  </si>
  <si>
    <t>Постановление Администрации Колпашевского района от 17.04.2018 № 343 "О порядке расходования средств субсидии из областного бюджета в 2018 году на поддержку экономического и социального развития коренных малочисленных народов Севера, Сибири и Дальнего Востока Российской Федерации"</t>
  </si>
  <si>
    <t>17.04.2018- 31.12.2018</t>
  </si>
  <si>
    <t>(213 595)</t>
  </si>
  <si>
    <t>1.1.1.21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</si>
  <si>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1023</t>
  </si>
  <si>
    <t>Решение Думы Колпашевского района от 18.06.2018 № 43 "О предоставлении иных межбюджетных трансфертов бюджету муниципального образования "Саровское сельское поселение" на ремонт автомобильных дорог общего пользования местного значения в границах населенных пунктов муниципального образования "Саровское сельское поселение" в 2018 году"</t>
  </si>
  <si>
    <t>18.06.2018- 29.10.2018</t>
  </si>
  <si>
    <t>18.06.2018- 20.12.2018</t>
  </si>
  <si>
    <t>Решение Думы Колпашевкого района от 18.06.2018 № 49 "О предоставлении иных межбюджетных трансфертов бюджету муниципального образования "Новоселовское сельское поселение" на оплату услуг по уличному освещению"</t>
  </si>
  <si>
    <t>(100 323)</t>
  </si>
  <si>
    <t>1026</t>
  </si>
  <si>
    <t>1801</t>
  </si>
  <si>
    <t>Постановление Администрации Колпашевского района от 08.06.2018 № 514 "О порядке расходования средств субсидии на улучшение жилищных условий граждан, проживающих в сельской местности, в том числе молодых семей и молодых специалистов из местного бюджета муниципального образования "Колпашевский район"</t>
  </si>
  <si>
    <t>08.06.2018- 31.12.2018</t>
  </si>
  <si>
    <t>Решение Думы Колпашевского района от 30.03.2007 № 307 "Об утверждении Положения об обеспечении условий для развития на территории муниципальногообразования "Колпашевский район"физической культуры и массового спорта , организация проведения официальных физкультурно-оздоровительных мероприятий Колпашевского района (в редакции от 30.08.2007 № 356, от 28.08.2007 № 525, от 24.05.2010 № 835, от 25.04.2011 № 39, от 23.04.2012 № 68, от 15.12.2014 № 155, от 30.05.2016 № 50, от 24.08.2016 № 67, от 30.05.2017 № 41, от 28.09.2017 № 82, от 18.06.2018 № 41)</t>
  </si>
  <si>
    <t>Решение Думы Колпашевского района от 18.06.2018 № 45 "О предоставлении иных межбюджетных трансфертов бюджету муниципального образования "Новогоренское сельское поселение" на выполнение мероприятий по благоустройству населенных пунктов"</t>
  </si>
  <si>
    <t>18.06.2018- 31.12.2018</t>
  </si>
  <si>
    <t>Постановление Администрации Колпашевского района от 14.05.2015 № 480 "О порядке расходования средств иных межбюджетных трансфертов, предоставленных из областного бюджета и средств бюджета муниципального образования "Колпашевский район"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 редакции от 30.06.2016 № 713, от 18.10.2016 № 1143, от 20.12.2016 № 1373, от 25.04.2017 № 367, от 16.11.2017 № 1200, от 22.03.2018 № 237, от 02.07.2018 № 647)</t>
  </si>
  <si>
    <t>Постановление Главы Колпашевского района от 02.07.2018 № 120 "О порядке использования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Томской области"</t>
  </si>
  <si>
    <t>02.07.2018- 29.12.2018</t>
  </si>
  <si>
    <t>Постановление Администрации Колпашевского района от 27.02.2018 № 154 "О порядке расходования средств субсидии из областного бюджета на достижение целевых показателей по плану мероприятий ("дорожной карте") "Изменения в сфере культуры, направленные на повышение её эффективности в Колпашевском районе", в части повышения заработной платы работников муниципальных учреждений культуры и муниципальных учреждений в сфере архивного дела" (в редакции от 03.04.2018 № 291, от 03.07.2018 № 648)</t>
  </si>
  <si>
    <t>Постановление Администрации Колпашевского района от 05.05.2012 № 425 "О порядке определения объёма и условия предоставления бюджетным и автономным учреждениям муниципального образования «Колпашевский район» субсидий на иные цели, источником финансирования которых является резервный фонд Администрации Колпашевского район"</t>
  </si>
  <si>
    <t>(100 325)</t>
  </si>
  <si>
    <t>Решение думы Колпашевского района от 26.07.2018 № 59 "О предоставлении иных межбюджетных трансфертов бюджетам муниципальных образований Колпашевского района на 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муниципального образования "Колпашевский район" в 2018 году"</t>
  </si>
  <si>
    <t>26.07.2018- 20.12.2018</t>
  </si>
  <si>
    <t>проект на 2019 год</t>
  </si>
  <si>
    <t>Решение Думы Колпашевского района от 26.07.2018 № 54 "О предоставлении иных межбюджетных трансфертов бюджету муниципального образования "Новоселовское сельское поселение" на организацию теплоснабжения в д.Маракса"</t>
  </si>
  <si>
    <t>26.07.2018- 23.12.2018</t>
  </si>
  <si>
    <t>Решение Думы Колпашевского района от 26.07.2018 № 53 "О предоставлении иных межбюджетных трансфертов бюджету муниципального образования "Инкинское сельское поселение" на приобретение, доставку и монтаж трансформаторной подстанции с.Копыловка"</t>
  </si>
  <si>
    <t>Решение Думы Колпашевского района от 26.07.2018 № 52 "О предоставлении иных межбюджетных трансфертов бюджету муниципального образования "Новогоренское сельское поселение" на ремонт сетей водоснабжения в с.Новогорное"</t>
  </si>
  <si>
    <t>(100 328)</t>
  </si>
  <si>
    <t>(100 337)</t>
  </si>
  <si>
    <t>Решение Думы Колпашевского района от 26.07.2018 № 57 "О предоставлении иных межбюджетных трансфертов бюджету муниципального образования "Колпашевское городское поселение" на софинансирование мероприятия "Повышение уровня благоустройства территорий общего пользования" муниципальной программы "Формирование современной городской среды Колпашевского городского поселения"</t>
  </si>
  <si>
    <t>26.07.2018- 26.09.2018</t>
  </si>
  <si>
    <t>(100 330)</t>
  </si>
  <si>
    <t>Решение Думы Колпашевского района от 26.07.2018 № 56 "О предоставлении иных межбюджетных трансфертов бюджету муниципального образования "Чажемтовское сельское поселение" на софинансирование мероприятия "Повышение уровня благоустройства территорий многоквартирных домов" муниципальной программы "Формирование современной городской среды Чажемтовского сельского поселения"</t>
  </si>
  <si>
    <t>Постановление Главы Колпашевского района от 07.08.2018 № 145 "О порядке расходования средств бюджетных ассигнований резервного фонда финансирования непредвиденных расходов Администрации Томской области на модернизацию уличного освещения и на приобретение и доставку спортивного комплекса для установки по адресу: п.Большая Саровка, ул.Советская, 23/1"</t>
  </si>
  <si>
    <t>Постановление Главы Колпашевского района от 07.08.2018 № 143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</si>
  <si>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07.08.2018- 24.12.2018</t>
  </si>
  <si>
    <t>07.08.2018- 05.12.2018</t>
  </si>
  <si>
    <t>Постановление Главы Колпашевского района от 06.08.2018 № 142 "О порядке расходования средств бюджетных ассигнований резервного фонда финансирования непредвиденных расходов Администрации Томской области на ремонт детских игровых площадок"</t>
  </si>
  <si>
    <t>06.08.2018- 24.12.2018</t>
  </si>
  <si>
    <t>(100 715)</t>
  </si>
  <si>
    <t>(414 681)</t>
  </si>
  <si>
    <t>(299 652)</t>
  </si>
  <si>
    <t>(210 618)</t>
  </si>
  <si>
    <t>(210 619)</t>
  </si>
  <si>
    <t>(210 620)</t>
  </si>
  <si>
    <t>(210 621)</t>
  </si>
  <si>
    <t>(203 603)</t>
  </si>
  <si>
    <t>Постановление Администрации Колпашевского района от 13.07.2018 № 674 "О порядке расходования средств субсидий местным бюджетам из областного бюджета для оказания поддержки муниципальных программ (подпрограмм), содержащих мероприятия, направленные на развитие малого и среднего предпринимательства"</t>
  </si>
  <si>
    <t>17.07.2018- 31.12.2018</t>
  </si>
  <si>
    <t>Решение Думы Колпашевского района от 26.07.2018 № 55 "О предоставлении иных межбюджетных трансфертов бюджету муниципального образования "Новоселовское сельское поселение" на выполнение мероприятий по благоустройству населенных пунктов"</t>
  </si>
  <si>
    <t>26.07.2018- 31.12.2018</t>
  </si>
  <si>
    <t>Решение Думы Колпашевского района от 26.02.2018 № 15 "О предоставлении иных межбюджетных трансфертов бюджету муниципального образования "Колпашевское городское поселение" на выполнение мероприятий по благоустройству населенных пунктов" (в редакции от 18.06.2018 № 46, от 26.07.2018 № 58)</t>
  </si>
  <si>
    <t>Решение Думы Колпашевского района от 27.04.2018 № 28 "О предоставлении иных межбюджетных трансфертов бюджету муниципального образования "Инкинское сельское поселение" на ремонт оборудования котельной с.Инкино" (в редакции от 26.07.2018 № 61)</t>
  </si>
  <si>
    <t>Постановление Администрации Колпашевского района от 30.01.2018 № 58 "О порядке расходования средств субсидии на обеспечение условий для развития физической культуры и массового спорта" (в редакции от 20.08.2018 № 869)</t>
  </si>
  <si>
    <t>Постановление Администрации Колпашевского района от 22.08.2018 № 881 "Об утверждении Порядка предоставления субсидии на финансовое обеспечение затрат юридическим лицам, осуществляющим хозяйственную деятельность, связанную с обеспечением водных перевозок в границах муниципального образования "Колпашевский район"</t>
  </si>
  <si>
    <t>22.08.2018- 31.12.2018</t>
  </si>
  <si>
    <t>Постановление Главы Колпашевского района от 12.04.2018 № 68 "О порядке расходования бюджетных ассигнований резервного фонда финансирования непредвиденных расходов Администрации Томской области" (распоряжение АТО от 27.02.2018 № 34-р-в) (в редакции от 28.04.2018 № 80, от 23.05.2018 № 90, от 22.08.2018 № 154)</t>
  </si>
  <si>
    <t>12.04.2018- 01.10.2018</t>
  </si>
  <si>
    <t>Решение Думы Колпашевского района от 13.08.2014 № 82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 для лиц, работающих в органах местного самоуправления муниципального образования "Колпашевский район", в органах Администрации Колпашевского района и муниципальных учреждениях, финансируемых из бюджета муниципального образования "Колпашевский район", и о размере,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 в другую местность, за пределы Колпашевского района" (в редакции от 22.09.2014 № 89, от 27.10.2014 № 116, от 28.08.2018 № 63)</t>
  </si>
  <si>
    <t>Решение Думы Колпашевского района от 22.06.2015 № 59 "О софинансировании проектов по организации и проведению в 2015 году мероприятий, направленных на поддержку и развитие социального туризма" (в редакции решений от 25.04.2016 № 25, от 25.04.2016 № 25, от 28.08.2018 № 68)</t>
  </si>
  <si>
    <t>Решение думы Колпашевского района от 28.08.2018 № 69 "О предоставлении иных межбюджетных трансфертов бюджету муниципального образования "Саровское сельское поселение" на ремонт волейбольной площадки в с.Новоильинка в 2018 году"</t>
  </si>
  <si>
    <t>28.08.2018- 15.11.2018</t>
  </si>
  <si>
    <t>28.08.2018- 20.12.2018</t>
  </si>
  <si>
    <t>Решение Думы Колпашевского района от 28.08.2018 № 71 "О предоставлении иных межбюджетных трансфертов бюджету муниципального образования "Колпашевское городское поселение" на ремонт муниципального жилья"</t>
  </si>
  <si>
    <t>Решение Думы Колпашевского района от 28.08.2018 № 72 "О предоставлении иных межбюджетных трансфертов бюджету муниципального образования "Колпашевского городское поселение" на восстановление пешеходных переходов в 2018 году"</t>
  </si>
  <si>
    <t xml:space="preserve"> Решение Думы Колпашевского района от 28.08.2018 № 74 "О предоставлении иных межбюджетных трансфертов бюджету муниципального образования "Чажемтовское сельское поселение" на приобретение материалов и оплату электрической энергии для организации уличного освещения в населенных пунктах Чажемтовского сельского поселения"</t>
  </si>
  <si>
    <t>Решение Думы Колпашевского района от 28.08.2018 № 77 "О предоставлении иных межбюджетных трансфертов бюджету муниципального образования "Новоселовское сельское поселение" на ремон сетей водоснабжения д.Маракса"</t>
  </si>
  <si>
    <t>Постановление Администрации Колпашевского района от 04.09.2018 № 932 "О распределении средств иных межбюджетных трансфертов на поощрение поселенческих команд, участвовавших в XIII летней межпоселенческой спартакиаде в г.Колпашево, из бюджета муниципального образования "Колпашевский район" в 2018 году"</t>
  </si>
  <si>
    <t>04.09.2018- 15.12.2018</t>
  </si>
  <si>
    <t>Постановление Администрации Колпашевского района от 10.09.2018 № 960 "О порядке расходования средств субсидии из областного бюджета Томской области, а также средств бюджета муниципального образования "Колпашевский район" на поддержку отрасли культуры в 2018 году"</t>
  </si>
  <si>
    <t>10.09.2018- 31.12.2018</t>
  </si>
  <si>
    <t>20.09.2018- 20.12.2018</t>
  </si>
  <si>
    <t>(208 591)</t>
  </si>
  <si>
    <t>(100 340)</t>
  </si>
  <si>
    <t>(100 342)</t>
  </si>
  <si>
    <t>(218 596)</t>
  </si>
  <si>
    <t>Постановление Администрации Колпашевского района от 18.19.2018 № 994 "Об утверждении порядка компенсации расходов по оплате найма жилого помещения"</t>
  </si>
  <si>
    <t>18.09.2018, не установлен</t>
  </si>
  <si>
    <t>Постановление Администрации Колпашевского района от 19.09.2018 № 161 "О порядке использования бюджетных ассигнований, выделенных бюджету муниципального образования "Колпашевский район" из резервного фонда Администрации Томской области по ликвидации последствий стихийных бедствий и других чрезвычайных ситуаций"</t>
  </si>
  <si>
    <t>19.09.2018- 25.12.2018</t>
  </si>
  <si>
    <t>Решение Думы Колпашевского района от 10.09.2012 № 115 "О предоставлении иных межбюджетных трансфертов на поддержку мер по обеспечению сбалансированности местных бюджетов" (в редакции от 28.10.2013 № 85, от 22.09.2014 № 87, от 27.10.2014 № 112, от 07.09.2015 № 80, от 02.11.2017 № 4, от 20.10.2016 № 89, от 26.10.2017 № 97, от 03.10.2018 № 87)</t>
  </si>
  <si>
    <t>Решение Думы Колпашевского района от 18.06.2018 № 44 "О предоставлении иных межбюджетных трансфертов бюджетам муниципальных образований "Инкинское сельское поселение", "Новогоренское сельское поселение" на участие в организации деятельности по сбору и транспортированию твердых коммунальных отходов" (в редакции от 03.10.2018 № 88)</t>
  </si>
  <si>
    <t>18.06.2018- 04.12.2018</t>
  </si>
  <si>
    <t>Решение Думы Колпашевский район от 26.02.2018 № 18 "О предоставлении иных межбюджетных трансфертов бюджету муниципального образования «Колпашевское городское поселение» на строительство объекта: «Газораспределительные сети г.Колпашево и с.Тогур Колпашевского района Томской области, VII очередь» (в редакции от 29.03.2018 № 23, от 03.10.2018 № 89)</t>
  </si>
  <si>
    <t>03.10.2018- 22.12.2018</t>
  </si>
  <si>
    <t>Решение Думы Колпашевского района от 18.06.2018 № 50 "О предоставлении иных межбюджетных трансфертов бюджету муниципального образования "Саровское сельское поселение" на выполнение мероприятий по благоустройству населенных пунктов" (в редакции от 03.10.2018 № 92)</t>
  </si>
  <si>
    <t>18.06.2018- 30.10.2018</t>
  </si>
  <si>
    <t>Решение Думы Колпашевского района от 03.10.2018 № 93 "О предоставлении иных межбюджетных трансфертов бюджету муниципального образования "Новоселовское сельское поселение" на финансовое обеспечение (возмещение) затрат, связанных с организацией электроснабжения от дизельных электростанций в п. Дальнее и п. Куржино"</t>
  </si>
  <si>
    <t>03.10.2018- 20.12.2018</t>
  </si>
  <si>
    <t>Решение Думы Колпашевского района от 03.10.2018 № 94 "О предоставлении иных межбюджетных трансфертов бюджету муниципального образования "Новоселовское сельское поселение" на приобретение, доставку и монтаж двигателя для дизельной электростанции в п. Куржино"</t>
  </si>
  <si>
    <t>Решение Думы Колпашевского района от 03.10.2018 № 95 "О предоставлении иных межбюджетных трансфертов бюджету муниципального образования "Инкинское сельское поселение" на финансовое обеспечение (возмещение) затрат, связанных с организацией электроснабжения от дизельных электростанций с.Копыловка"</t>
  </si>
  <si>
    <t>03.10.2018- 23.12.2018</t>
  </si>
  <si>
    <t>Решение Думы Колпашевского района от 03.10.2018 № 96 "О предоставлении иных межбюджетных трансфертов бюджету муниципального образования "Новоселовское сельское поселение" на организацию водоснабжения в д. Мохово"</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</si>
  <si>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пследствий черезвычайных ситуаций природного и техногенного характера на территории муниципального образования "Колпашевский район" (в редакции от 28.10.2013 № 90, от 27.06.2014 № 62, от 03.10.2018 № 98)</t>
  </si>
  <si>
    <t>Постановление Администрации Колпашевского района от 12.08.2014 № 791 "Об утверждении нормативов финансовых затрат на капитальный ремонт, ремонт, содержание автомобильных дорог общего пользования местного значения вне границ населенных пунктов в границах муниципального образования "Колпашевский район" и правил расчета размера ассигнований бюджета муниципального образования "Колпашевский район" на указанные цели" (в редакции от 18.09.2017 № 945, от 03.10.2018 № 1052)</t>
  </si>
  <si>
    <t>12.08.2014, не установлен</t>
  </si>
  <si>
    <t>03.10.2018- 10.12.2018</t>
  </si>
  <si>
    <t>08.10.2018- 31.12.2018</t>
  </si>
  <si>
    <t>Постановление Главы Колпашевского района от 08.10.2018 № 176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</si>
  <si>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Постановление Администрации Колпашевского района от 09.10.2018 № 1070 "О предоставлении субсидии из бюджета муниципального образования "Колпашевский район" в 2018 году религиозной организации "Колпашевская Епархия Русской Православной Церкви (Московский патриархат)" на финансовое обеспечение расходов, связанных с возведением Памятной часовни в честь Новомученников и всех безвинно пострадавших в г.Колпашево Томской области"</t>
  </si>
  <si>
    <t>09.10.2018- 31.12.2018</t>
  </si>
  <si>
    <t>Постановление Главы Колпашевского района от 11.10.2018 № 180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</si>
  <si>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11.10.2018- 05.12.2018</t>
  </si>
  <si>
    <t>Постановление Администрации Колпашевского района от 15.06.2018 № 533 "О порядке расходования средств субсидии на софинансирование расходных обязательств по решению вопросов местного значения, возникающих в связи с реализацией проекта, предложенного непосредственно населением Колпашевского городского поселения, входящего в состав Колпашевского муниципального района Томской области, победившего в конкурсном отборе" (в редакции от 26.10.2018 № 1148)</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</si>
  <si>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</si>
  <si>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</si>
  <si>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1009</t>
  </si>
  <si>
    <t>1.1.1.6.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</si>
  <si>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</si>
  <si>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</si>
  <si>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1.1.1.12.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</si>
  <si>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1.1.1.13. участие в предупреждении и ликвидации последствий чрезвычайных ситуаций на территории муниципального района</t>
  </si>
  <si>
    <t>1.1.1.16. организация мероприятий межпоселенческого характера по охране окружающей среды</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</si>
  <si>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</si>
  <si>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</si>
  <si>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1.1.1.19.организация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</si>
  <si>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1022</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</si>
  <si>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</si>
  <si>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</si>
  <si>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</si>
  <si>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</si>
  <si>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1.1.1.24.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</si>
  <si>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1.1.1.27. формирование и содержание муниципального архива, включая хранение архивных фондов поселений</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</si>
  <si>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</si>
  <si>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1.1.1.33.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</si>
  <si>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</si>
  <si>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1.1.1.38. осуществление мероприятий по обеспечению безопасности людей на водных объектах, охране их жизни и здоровья</t>
  </si>
  <si>
    <t>1.1.1.39. создание условий для расширения рынка сельскохозяйственной продукции, сырья и продовольствия</t>
  </si>
  <si>
    <t>1044</t>
  </si>
  <si>
    <t>1.1.1.42. содействие развитию малого и среднего предпринимательства</t>
  </si>
  <si>
    <t>1045</t>
  </si>
  <si>
    <t>1.1.1.43. оказание поддержки социально ориентированным некоммерческим организациям, благотворительной деятельности и добровольчеству</t>
  </si>
  <si>
    <t>1046</t>
  </si>
  <si>
    <t>1.1.1.44. обеспечение условий для развития на территории муниципального района физической культуры, школьного спорта и массового спорта</t>
  </si>
  <si>
    <t>1.1.1.45. организация проведения официальных физкультурно-оздоровительных и спортивных мероприятий муниципального района</t>
  </si>
  <si>
    <t>1.1.1.46.   организация и осуществление мероприятий межпоселенческого характера по работе с детьми и молодежью</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</si>
  <si>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</si>
  <si>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</si>
  <si>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</si>
  <si>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</si>
  <si>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</si>
  <si>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</si>
  <si>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1.2.6. принятие устава муниципального образования и внесение в него изменений и дополнений, издание муниципальных правовых актов</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</si>
  <si>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</si>
  <si>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</si>
  <si>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</si>
  <si>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1.2.22. формирование и использование резервных фондов администраций муниципальных образований для финансирования непредвиденных расходов</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</si>
  <si>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</si>
  <si>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1.3.3.3. дополнительные меры социальной поддержки и социальной помощи для отдельных категорий граждан</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</si>
  <si>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</si>
  <si>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1600</t>
  </si>
  <si>
    <t>1.3.4.1. оказание финансовой поддержки некоммерческим организациям</t>
  </si>
  <si>
    <t>1.3.4.2 исполнение судебных актов</t>
  </si>
  <si>
    <t>1.3.4.3. выплаты гражданам денежных вознаграждений в связи с присвоением почетных званий, получением наград, поощрений</t>
  </si>
  <si>
    <t>1.3.4.4. осуществление оплаты членских, целевых взносов для участия в различных Ассоциациях, межмуниципальных объединениях и организациях, некоммерческих организациях</t>
  </si>
  <si>
    <t>1.4.1. за счет субвенций, предоставленных из федерального бюджета, всего</t>
  </si>
  <si>
    <t>1703 (586)</t>
  </si>
  <si>
    <t>1.4.2. за счет субвенций, предоставленных из бюджета субъекта Российской Федерации, всего</t>
  </si>
  <si>
    <t>1.4.2.5.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</si>
  <si>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1.4.2.21.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</si>
  <si>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1821 (568)</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</si>
  <si>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</si>
  <si>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 (562)</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</si>
  <si>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</si>
  <si>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 (701)</t>
  </si>
  <si>
    <t>1854 (690)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</si>
  <si>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</si>
  <si>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</si>
  <si>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</si>
  <si>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</si>
  <si>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1.6.1. по предоставлению дотаций на выравнивание бюджетной обеспеченности городских, сельских поселений, всего</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</si>
  <si>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</si>
  <si>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1.6.3.1. на осуществление воинского учета на территориях, на которых отсутствуют структурные подразделения военных комиссариатов</t>
  </si>
  <si>
    <t>2104 (584)</t>
  </si>
  <si>
    <t>1.6.3.2.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</si>
  <si>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1.6.4. по предоставлению иных межбюджетных трансфертов, всего</t>
  </si>
  <si>
    <t>1.6.4.2. в  иных  случаях, не связанных с    заключением   соглашений, предусмотренных в подпункте  1.6.4.1., всего</t>
  </si>
  <si>
    <t xml:space="preserve">1.6.4.2.1. владение, пользование и распоряжение имуществом, находящимся в муниципальной собственности городского и сельского поселения
</t>
  </si>
  <si>
    <t>1.6.4.2.2. организация в границах городского и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</si>
  <si>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1.6.4.2.2.1. за счет средств бюджета Колпашевского района</t>
  </si>
  <si>
    <t>1.6.4.2.2.2. за счет средств областного бюджета</t>
  </si>
  <si>
    <t>1.6.4.2.2.2.1. Иные межбюджетные трансферты на компенсацию расходов по организации электроснабжения от дизельных электростанций за счет средств субсидии</t>
  </si>
  <si>
    <t>1.6.4.2.4. дорожная деятельность в отношении автомобильных дорог местного значения в границах населенных пунктов городского и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и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</si>
  <si>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1.6.4.2.5. обеспечение проживающих в городского и сельского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</si>
  <si>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2305</t>
  </si>
  <si>
    <t xml:space="preserve">1.6.4.2.7. создание условий для предоставления транспортных услуг населению и организация транспортного обслуживания населения в границах городского и сельского поселения(в части водного транспорта) </t>
  </si>
  <si>
    <t>2307</t>
  </si>
  <si>
    <t>1.6.4.2.4.1. ИМБТ на ремонт автомобильных дорог общего пользования местного значения в границах населенных пунктов сельских поселений муниципального образования "Колпашевский район"</t>
  </si>
  <si>
    <t>1.6.4.2.4.2. ИМБТ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t>
  </si>
  <si>
    <t>1.6.4.2.5.3. субсидии местным бюджетам на создание условий для управления многоквартирными домами</t>
  </si>
  <si>
    <t>1.6.4.2.11.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</si>
  <si>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2311</t>
  </si>
  <si>
    <t>1.6.4.2.11.1 ИМБТ на организацию видионаблюдения в местах массового скопления людей</t>
  </si>
  <si>
    <t>1.6.4.2.13. участие в предупреждении и ликвидации последствий чрезвычайных ситуаций в границах городского и сельского поселения</t>
  </si>
  <si>
    <t>1.6.4.2.14. обеспечение первичных мер пожарной безопасности в границах населенных пунктов городского и сельского поселения</t>
  </si>
  <si>
    <t>2315 (219 597)</t>
  </si>
  <si>
    <t>1.6.4.2.15. создание условий для обеспечения жителей городского и сельского поселения услугами связи, общественного питания, торговли и бытового обслуживания</t>
  </si>
  <si>
    <t>1.6.4.2.20. обеспечение условий для развития на территории городского и сельского поселения физической культуры, школьного спорта и массового спорта</t>
  </si>
  <si>
    <t>1.6.4.2.21. организация проведения официальных физкультурно-оздоровительных и спортивных мероприятий городского и сельского поселения</t>
  </si>
  <si>
    <t>2321</t>
  </si>
  <si>
    <t>1.6.4.2.22. создание условий для массового отдыха жителей городского и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</si>
  <si>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2322 (653, 654)</t>
  </si>
  <si>
    <t>1.6.4.2.26. организация благоустройства территории городского 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</si>
  <si>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1.6.4.2.26.1. за счет местного бюджета</t>
  </si>
  <si>
    <t>1.6.4.2.26.2. за счет средств областного бюджета</t>
  </si>
  <si>
    <t>1.6.4.2.26.2.1. Субсидия из областного бюджета бюджетам муниципальных образований Томской области на поддержку муниципальных программ формирования современной городской среды (за счет средств областного бюджета)</t>
  </si>
  <si>
    <t>1.6.4.2.26.2.2. Субсидия из областного бюджета бюджетам муниципальных образований Томской области на поддержку муниципальных программ формирования современной городской среды (за счет средств федерального бюджета)</t>
  </si>
  <si>
    <t>1.6.4.2.26.2.12. Субсидия из резервного фонда финансирования непредвиденных расходов Администрации Томской области бюджету Муниципального образования на организацию и проведение отбора общественных территорий в рамках приоритетного проекта "Формирование комфортной городской среды"</t>
  </si>
  <si>
    <t>1.6.4.2.29. утверждение генеральных планов городского и сельского поселения, правил землепользования и застройки, утверждение подготовленной на основе генеральных планов городского и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и сельского поселения, утверждение местных нормативов градостроительного проектирования городского и сельского поселений, резервирование земель и изъятие земельных участков в границах городского и сельского поселения для муниципальных нужд, осуществление муниципального земельного контроля в границах городского и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</si>
  <si>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1.6.4.2.36. содействие в развитии сельскохозяйственного производства в сфере животноводства с учетом рыболовства и рыбоводства содействие в развитии сельскохозяйственного производства в сфере растениеводства</t>
  </si>
  <si>
    <t>1.6.4.2.39. организация и осуществление мероприятий по работе с детьми и молодежью в городском поселении</t>
  </si>
  <si>
    <t>1.6.4.2.48.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</si>
  <si>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2348 (100 323)</t>
  </si>
  <si>
    <t>1.6.4.2.49. создание условий для развития туризма</t>
  </si>
  <si>
    <t>1.6.4.2.50. обеспечение сбалансированности бюджетов городских и сельских поселений</t>
  </si>
  <si>
    <t>2350</t>
  </si>
  <si>
    <t>1.6.4.2.52. исполнение судебных актов</t>
  </si>
  <si>
    <t>1.1.1.17.1. Создание условий для реализации образовательных программ дошкольного образования, присмотра и ухода</t>
  </si>
  <si>
    <t>1.1.1.17.2. МП "Обеспечение безопасности  населения Колпашевского района"</t>
  </si>
  <si>
    <t>1.1.1.17.3.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t>
  </si>
  <si>
    <t>1.1.1.18.2. компенсация расходов на питание обучающимся общеобразовательных учреждений</t>
  </si>
  <si>
    <t>1.1.1.47.   организация библиотечного обслуживания населения, комплектование и обеспечение сохранности библиотечных фондов библиотек сельского поселения</t>
  </si>
  <si>
    <t>1.1.2.18. организация библиотечного обслуживания населения, комплектование и обеспечение сохранности библиотечных фондов библиотек  поселения</t>
  </si>
  <si>
    <t>1.1.2.19. создание условий для организации досуга и обеспечения жителей  поселения услугами организаций культуры</t>
  </si>
  <si>
    <t>1.4.1.11. на выплату единовременного пособия при всех формах устройства детей, лишенных родительского попечения, в семью</t>
  </si>
  <si>
    <t>1712 (312 663)</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</si>
  <si>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</si>
  <si>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</si>
  <si>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2105 (552, 563, 582)</t>
  </si>
  <si>
    <t>2349 (100 342)</t>
  </si>
  <si>
    <t>2003 (309 572) (309 592)</t>
  </si>
  <si>
    <t>(310 580)</t>
  </si>
  <si>
    <t>(312 551) (323 554)</t>
  </si>
  <si>
    <t>(311 606 312 556)</t>
  </si>
  <si>
    <t>(303 558)</t>
  </si>
  <si>
    <t>(304 581)</t>
  </si>
  <si>
    <t>(313 553)</t>
  </si>
  <si>
    <t>(305 557)</t>
  </si>
  <si>
    <t>(312 562)</t>
  </si>
  <si>
    <t>Решение Думы Колпашевского района от 14.07.2006 № 180 "Об утверждении Положения о создании условий для предоставления транспортных услуг населению и организации транспортного обслуживания населению по маршрутам между поселениями в границах МО "Колпашевский район" (в редакции от 29.11.2006 № 237, от 27.04.2007 № 320, от 15.05.2008 № 477, от 08.09.2008 № 539, от 23.04.2012 № 75, от 10.09.2012 №120, от 21.12.2015 № 56, от 28.03.2017 № 56, от 28.03.2017 № 92, от 28.08.2018 № 78, от 28.11.2018 № 102)</t>
  </si>
  <si>
    <t>Постановление Администрации Колпашевского района от 10.12.2015 № 1257 "Об утверждении муниципальной программы "Обеспечение безопасности населения Колпашевского района" (в редакции от 11.07.2016 № 768, от 09.09.2016 № 1050, от 05.10.2016 № 1122, от 21.11.2016 № 1276, от 15.03.2017 № 216, от 31.01.2018 № 65, от 16.05.2018 № 414)</t>
  </si>
  <si>
    <t xml:space="preserve">1.1.1.17.4. расходы за счет резервных фондов Администрации Томской области </t>
  </si>
  <si>
    <t xml:space="preserve">ст. 9, ст. 40 </t>
  </si>
  <si>
    <t>1.1.1.18.1. Создание условий для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общеобразовательных организациях муниципального образования</t>
  </si>
  <si>
    <t>отчетный 2018 год</t>
  </si>
  <si>
    <t>текущий 2019 год</t>
  </si>
  <si>
    <t>очередной 2020 год</t>
  </si>
  <si>
    <t>2021 год</t>
  </si>
  <si>
    <t>01.06.2018- 31.12.2018</t>
  </si>
  <si>
    <t>Постановление Главы Колпашевского района от 10.10.2018 № 177 "О порядке расходования средств бюджетных ассигнований резервного фонда финансирования непредвиденных расходов Администрации Томской области"</t>
  </si>
  <si>
    <t>10.10.2018- 01.12.2018</t>
  </si>
  <si>
    <t>(209 593)</t>
  </si>
  <si>
    <t>Постановление Администрации Колпашевского района от 05.09.2018 № 936 "О порядке расходования средств субсидии из областного бюджета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(в редакции от 20.12.2018 № 1398)</t>
  </si>
  <si>
    <t>20.12.2018- 31.12.2018</t>
  </si>
  <si>
    <t>Постановление Главы Колпашевского района от 19.11.2018 № 208 "О порядке расходования средств бюджетных ассигнований резервного фонда финансирования непредвиденных расходов Администрации Томской области"</t>
  </si>
  <si>
    <t>19.11.2018- 31.12.2018</t>
  </si>
  <si>
    <t>04.12.2018- 25.12.2018</t>
  </si>
  <si>
    <t>(210 598, 210 599)</t>
  </si>
  <si>
    <t>Постановление Администрации Колпашевского района от 19.11.2018 № 1241 "О порядке расходования средств субсидии из областного бюджета на приобретение спортивного инвентаря и оборудования для муниципальных детско-юношеских спортивных школ, спортивных школ, специализированных детско-юношеских спортивных школ олимпийского резерва"</t>
  </si>
  <si>
    <t>(208 685)</t>
  </si>
  <si>
    <t>Постановление Администрации Колпашевского района от 05.12.2018 № 1303 "О порядке расходования средств субсидии из областного бюджета на приобретение оборудования для малобюджетных спортивных площадок по месту жительства и учёбы в муниципальных образованиях Томской области, за исключением муниципального образования "Город Томск", муниципального образования "Городской округ закрытое административно- территориальное образование Северск Томской области" (в редакции от 26.12.2018 № 1447)</t>
  </si>
  <si>
    <t>05.12.2018- 31.12.2018</t>
  </si>
  <si>
    <t>(208 686)</t>
  </si>
  <si>
    <t>Постановление Администрации Колпашевского района от 10.12.2018 № 1334 "О порядке расходования средств субсидии из областного бюджета на обеспечение условий для реализации Всероссийского физкультурно-спортивного комплекса "Готов к труду и обороне" (ГТО)" (в редакции от 21.12.2018 № 1410)</t>
  </si>
  <si>
    <t>10.12.2018- 31.12.2018</t>
  </si>
  <si>
    <t>1.6.4.2.1.1. ИМБТ на ремонт автотранспортных средств</t>
  </si>
  <si>
    <t>1.6.4.2.1.2. ИМБТ на выполнение работ по координатному описанию границ населенных пунктов Чажемтовского сельского поселения"</t>
  </si>
  <si>
    <t>Решение Думы Колпашевского района от 18.12.2018 № 130 "О предоставлении иных межбюджетных трансфертов бюджету муниципального образования "Новоселовское сельское поселение" на ремонт автотранспортных средств"</t>
  </si>
  <si>
    <t>18.12.2018- 27.12.2018</t>
  </si>
  <si>
    <t>Постановление Администрации Колпашевского района от 22.06.2018 № 562 "О порядке использования средств муниципальной программы "Обеспечение безопасности населения Колпашевского района", предусмотренных на изготовление печатной продукции по безопасности дорожного движения."</t>
  </si>
  <si>
    <t>22.06.2018- 20.12.2018</t>
  </si>
  <si>
    <t>1.6.4.2.1.3. МБТ из резервного фонда финансирования непредвиденных расходов Администрации Томской области (в соответствии с распоряжением АТО от 29.03.2018 № 66-р-в)</t>
  </si>
  <si>
    <t>1.6.4.2.1.4. Иные межбюджетные трансферты на изготовление печатной продукции по безопасности дорожного движения</t>
  </si>
  <si>
    <t>1.6.4.2.2.1.1. Иные межбюджетные трансферты на ремонт сетей водоснабжения с.Чажемто</t>
  </si>
  <si>
    <t>1.6.4.2.2.1.2. Иные межбюджетные трансферты на строительство объекта: "Газораспределительные сети г.Колпашево и с.Тогур Колпашевского района Томской области, VII очередь"</t>
  </si>
  <si>
    <t>1.6.4.2.2.1.3. Иные межбюджетные трансферты на завоз топлива для дизельных электростанций</t>
  </si>
  <si>
    <t>1.6.4.2.2.1.4. Иные межбюджетные трансферты на финансовое обеспечение (возмещение) затрат, связанных с организацией электроснабжения от дизельных электростанций с. Копыловка</t>
  </si>
  <si>
    <t>1.6.4.2.2.1.5. Иные межбюджетные трансферты на ремонт оборудования котельной с. Инкино</t>
  </si>
  <si>
    <t>1.6.4.2.2.1.6. Иные межбюджетные трансферты на ремонт инженерных сетей в с. Чажемто</t>
  </si>
  <si>
    <t>1.6.4.2.2.1.7. Иные межбюджетные трансферты на компенсацию убытков теплоснабжающих организаций от эксплуатации муниципальных котельных</t>
  </si>
  <si>
    <t>1.6.4.2.2.1.8. Иные межбюджетные трансферты на организацию водоснабжения</t>
  </si>
  <si>
    <t>1.6.4.2.2.1.9. Иные межбюджетные трансферты на оплату электрической энергии по коммунальным объектам</t>
  </si>
  <si>
    <t>1.6.4.2.2.1.10. Иные межбюджетные трансферты на организацию теплоснабжения в д. Маракса</t>
  </si>
  <si>
    <t>1.6.4.2.2.1.11. Иные межбюджетные трансферты на приобретение, доставку и монтаж трансформаторной подстанции с. Копыловка</t>
  </si>
  <si>
    <t>1.6.4.2.2.1.12. Иные межбюджетные трансферты на ремонт сетей водоснабжения в с. Новогорное</t>
  </si>
  <si>
    <t>1.6.4.2.2.1.13. Иные межбюджетные трансферты на ремонт сетей водоснабжения д. Маракса</t>
  </si>
  <si>
    <t>1.6.4.2.2.1.14. Иные межбюджетные трансферты на приобретение материалов и оплату электрической энергии для организации уличного освещения в населенных пунктах Чажемтовского сельского поселения</t>
  </si>
  <si>
    <t>1.6.4.2.2.1.15. Иные межбюджетные трансферты на организацию теплоснабжения населения д. Маракса Новоселовского сельского поселения</t>
  </si>
  <si>
    <t>1.6.4.2.2.1.16. Иные межбюджетные трансферты на ремонт сетей водоснабжения в с. Озерное</t>
  </si>
  <si>
    <t>1.6.4.2.2.1.17. Иные межбюджетные трансферты на финансовое обеспечение (возмещение) затрат, связанных с организацией электроснабжения от дизельных электростанций в п. Дальнее и п. Куржино</t>
  </si>
  <si>
    <t>1.6.4.2.2.1.18. Иные межбюджетные трансферты на приобретение, доставку и монтаж двигателя для дизельной электростанции в п. Куржино</t>
  </si>
  <si>
    <t>1.6.4.2.2.1.19. Иные межбюджетные трансферты на организацию водоснабжения в д. Мохово</t>
  </si>
  <si>
    <t>(100 345)</t>
  </si>
  <si>
    <t>1.6.4.2.2.1.20. Иные межбюджетные трансферты на организацию теплоснабжения объектов с. Новогорное</t>
  </si>
  <si>
    <t>Решение Думы Колпашевского района от 28.11.2018 № 108 "О предоставлении иных межбюджетных трансфертов бюджету муниципального образования "Новогоренское сельское поселение" на организацию теплоснабжения объектов д.Новогорное" (в редакции от 18.12.2018 № 131)</t>
  </si>
  <si>
    <t>28.11.2018- 25.12.2018</t>
  </si>
  <si>
    <t>1.6.4.2.2.1.21. Иные межбюджетные трансферты на проведение исследования дизельного топлива</t>
  </si>
  <si>
    <t>(100 346)</t>
  </si>
  <si>
    <t>Решение Думы Колпашевского района от 28.11.2018 № 109 "О предоставлении иных межбюджетных трансфертов бюджету муниципального образования "Инкинское сельское поселение" на проведение исследования дизельного топлива"</t>
  </si>
  <si>
    <t>28.11.2018- 23.12.2018</t>
  </si>
  <si>
    <t>1.6.4.2.2.1.22. Иные межбюджетные трансферты на организацию теплоснабжения населения</t>
  </si>
  <si>
    <t>(100 347)</t>
  </si>
  <si>
    <t>Решение Думы Колпашевского района от 28.11.2018 № 113 "О предоставлении иных межбюджетных трансфертов бюджету муниципального образования "Колпашевское городское поселение" на организацию теплоснабжения населения" (в редакции от 18.12.2018 № 122)</t>
  </si>
  <si>
    <t>28.11.2018- 10.01.2019</t>
  </si>
  <si>
    <t>1.6.4.2.2.2.2. Субсидия на реализацию государственной программы "Повышение энергоэффективности в Томской области" по объекту "Газораспределительные сети г.Колпашево и с.Тогур Колпашевского района Томской области. 7 очередь"</t>
  </si>
  <si>
    <t>1.6.4.2.5.1. Иные межбюджетные трансферты на ремонт муниципального жилья</t>
  </si>
  <si>
    <t>1.6.4.2.13.1. МБТ из резервного фонда финансирования непредвиденных расходов Администрации Томской области (в соответствии с распоряжением АТО от 17.04.2018 № 242-ра)</t>
  </si>
  <si>
    <t>1.6.4.2.13.2. МБТ из резервного фонда финансирования непредвиденных расходов Администрации Томской области (в соответствии с распоряжением АТО от 11.09.2018 № 600-ра)</t>
  </si>
  <si>
    <t>Постановление Администрации Колпашевского района от 19.11.2018 № 206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 (в редакции от 07.12.2018 № 228)</t>
  </si>
  <si>
    <t>19.11.2018- 26.12.2018</t>
  </si>
  <si>
    <t>1.6.4.2.21.1. ИМБТ на подготовку спортивных сооружений к проведению межпоселенческой спартакиады в п.Саровка в 2018 году</t>
  </si>
  <si>
    <t>1.6.4.2.21.2. Иные межбюджетные трансферты на поощрение поселенческих команд, участвовавших в XI зимней межпоселенческой спартакиаде в п. Б. Саровка</t>
  </si>
  <si>
    <t>1.6.4.2.21.3. Иные межбюджетные трансферты на ремонт волейбольной площадки в с. Новоильинка</t>
  </si>
  <si>
    <t>1.6.4.2.21.4. Иные межбюджетные трансферты на поощрение поселенческих команд, участвовавших в XIII летней межпоселенческой спартакиаде в г. Колпашево</t>
  </si>
  <si>
    <t>1.6.4.2.21.5. МБТ из резервного фонда финансирования непредвиденных расходов Администрации Томской области (в соответствии с распоряжением АТО от 19.03.2018 № 43-р-в)</t>
  </si>
  <si>
    <t>1.6.4.2.21.6. МБТ из резервного фонда финансирования непредвиденных расходов Администрации Томской области (в соответствии с распоряжением АТО от 29.03.2018 № 66-р-в)</t>
  </si>
  <si>
    <t>1.6.4.2.21.7. МБТ из резервного фонда финансирования непредвиденных расходов Администрации Томской области (в соответствии с распоряжением АТО от 17.07.2018 № 207-р-в)</t>
  </si>
  <si>
    <t>1.6.4.2.21.9. МБТ из резервного фонда финансирования непредвиденных расходов Администрации Томской области (в соответствии с распоряжением АТО от 24.10.2018 № 333-р-в)</t>
  </si>
  <si>
    <t>1.6.4.2.21.8. МБТ из резервного фонда финансирования непредвиденных расходов Администрации Томской области (в соответствии с распоряжением АТО от 18.09.2018 № 285-р-в)</t>
  </si>
  <si>
    <t>1.6.4.2.26.1.1. Иные межбюджетные трансферты на выполнение мероприятий по благоустройству населенных пунктов</t>
  </si>
  <si>
    <t>1.6.4.2.26.1.2. Иные межбюджетные трансферты на оплату услуг по уличному освещению</t>
  </si>
  <si>
    <t>1.6.4.2.26.1.3. Иные межбюджетные трансферты на участие в организации деятельности по сбору и транспортированию твердых коммунальных отходов</t>
  </si>
  <si>
    <t>1.6.4.2.26.1.4. Иные межбюджетные трансферты на софинансирование мероприятия "Повышение уровня благоустройства территорий общего пользования" муниципальной программы "Формирование современной городской среды Колпашевского городского поселения"</t>
  </si>
  <si>
    <t>1.6.4.2.26.1.5. Иные межбюджетные трансферты на софинансирования мероприятия "Повышение уровня благоустройства территорий многоквартирных домов" муниципальной программы "Формирование современной городской среды Чажемтовского сельского поселения"</t>
  </si>
  <si>
    <t>2336 (100 344)</t>
  </si>
  <si>
    <t>1221</t>
  </si>
  <si>
    <t>1149</t>
  </si>
  <si>
    <t>1213</t>
  </si>
  <si>
    <t>1222</t>
  </si>
  <si>
    <t>1029</t>
  </si>
  <si>
    <t>1208</t>
  </si>
  <si>
    <t>1601</t>
  </si>
  <si>
    <t>1603</t>
  </si>
  <si>
    <t>1604</t>
  </si>
  <si>
    <t>1040</t>
  </si>
  <si>
    <t>1041</t>
  </si>
  <si>
    <t>1019</t>
  </si>
  <si>
    <t>1068</t>
  </si>
  <si>
    <t>1119</t>
  </si>
  <si>
    <t>1047</t>
  </si>
  <si>
    <t>1802</t>
  </si>
  <si>
    <t>1703</t>
  </si>
  <si>
    <t>1805</t>
  </si>
  <si>
    <t>1854</t>
  </si>
  <si>
    <t>1722</t>
  </si>
  <si>
    <t>1821</t>
  </si>
  <si>
    <t>2003</t>
  </si>
  <si>
    <t>1896</t>
  </si>
  <si>
    <t>1838</t>
  </si>
  <si>
    <t>1712</t>
  </si>
  <si>
    <t>2301</t>
  </si>
  <si>
    <t>2104</t>
  </si>
  <si>
    <t>2313</t>
  </si>
  <si>
    <t>2336</t>
  </si>
  <si>
    <t>2304</t>
  </si>
  <si>
    <t>2315</t>
  </si>
  <si>
    <t>0410</t>
  </si>
  <si>
    <t>2302</t>
  </si>
  <si>
    <t>2326</t>
  </si>
  <si>
    <t>2105</t>
  </si>
  <si>
    <t>2352</t>
  </si>
  <si>
    <t>2320</t>
  </si>
  <si>
    <t>2101</t>
  </si>
  <si>
    <t>1204</t>
  </si>
  <si>
    <t>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t>
  </si>
  <si>
    <t>ст. 20</t>
  </si>
  <si>
    <t>01.10.2011, не установлен</t>
  </si>
  <si>
    <t>Закон РФ от 19.02.1993 г. N 4520-I "О государственных гарантиях и компенсациях для лиц, работающих и проживающих в районах Крайнего Севера и приравненных к ним местностях"</t>
  </si>
  <si>
    <t>ст. 33, ст. 35</t>
  </si>
  <si>
    <t>01.06.1993, не установлен</t>
  </si>
  <si>
    <t>Закон Томской области от 14.05.2005 N 78-ОЗ "О гарантиях и компенсациях для лиц, проживающих в местностях, приравненных к районам Крайнего Севера"</t>
  </si>
  <si>
    <t>ст. 4, ст.5</t>
  </si>
  <si>
    <t>гл. 8 Положения</t>
  </si>
  <si>
    <t>1.1.1.38.1. обеспечение безопасности гидротехнических сооружений</t>
  </si>
  <si>
    <t>Федеральный закон от 21.12.1994 N 68-ФЗ "О защите населения и территорий от чрезвычайных ситуаций природного и техногенного характера"</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</si>
  <si>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чрезвычайных ситуаций природного и техногенного характера на территории муниципального образования "Колпашевский район" (в редакции от 28.10.2013 № 90, от 27.06.2014 № 62, от 03.10.2018 № 98)</t>
  </si>
  <si>
    <t>п. 3</t>
  </si>
  <si>
    <t>1.1.1.39.1. мроприятия в области сельскохозяйственного производства</t>
  </si>
  <si>
    <t>01.01.2011- 31.12.2020</t>
  </si>
  <si>
    <t xml:space="preserve">Постановление Главы Колпашевского района от 19.09.2008 № 850 "Об утверждении Положения о конкурсе "Лучший предпринимательский проект "стартующего бизнеса" в муниципальном образовании "Колпашевский район" 
(в редакции постановлений Главы Колпашевского района от 27.01.2009 № 29, от 27.08.2009 № 869, от 18.12.2009 № 1352, постановлений Администрации Колпашевского района от 21.04.2010 № 591, от 28.10.2011 № 1124, от 17.04.2012 № 367, от 06.08.2012  № 765, от 19.11.2012 № 1146, от 10.12.2012 № 1235, от 28.06.2013 № 623, от 27.09.2013 № 1027, от 05.02.2014 № 95, от 10.11.2014 № 1294, от 09.11.2015 № 1129, от 30.05.2016 № 594, от 29.11.2018 № 1292)
</t>
  </si>
  <si>
    <t>Постановление Администрации Колпашевского района от 21.12.2018 № 1419 "О порядке расходования средств субсидий местным бюджетам из областного бюджета в целях поддержки муниципальных программ (подпрограмм), содержащих мероприятия, направленные на развитие малого и среднего предпринимательства"</t>
  </si>
  <si>
    <t>21.12.2018- 31.12.2018</t>
  </si>
  <si>
    <t>Постановление Администрации Колпашевского района от 10.10.2018 № 1081 "Об утверждении муниципальной программы "Развитие предпринимательства в Колпашевском районе" (в редакции от 13.12.2018 № 1349)</t>
  </si>
  <si>
    <t>01.01.2019- 31.12.2024</t>
  </si>
  <si>
    <t>Постановление Администрации Колпашевского района от 19.06.2018 № 543 «О порядке предоставления субсидии на обеспечение деятельности бизнес-инкубатора Колпашевского района производственного и офисного назначения» (в редакции от 17.12.2018 № 1358)</t>
  </si>
  <si>
    <t>19.06.2018, не установлен</t>
  </si>
  <si>
    <t>ст. 2</t>
  </si>
  <si>
    <t>ст. 17, п.1, п.п.8.1; ст.34, п.9</t>
  </si>
  <si>
    <t xml:space="preserve">Решение Думы Колпашевского района от 18.10.2005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
 </t>
  </si>
  <si>
    <t>п. 3.2.</t>
  </si>
  <si>
    <t>ст.10</t>
  </si>
  <si>
    <t>ст.2</t>
  </si>
  <si>
    <t>Постановление Администрации Колпашевского района от 19.06.2018 № 549 "О порядке расходования средств субсидии, предоставленных из областного бюджета и средств бюджета муниципального образования "Колпашевский район" на реализацию проектов, отобранных по итогам проведения конкурсов проектов в рамках реализации государственной программы "Развитие культуры и туризма в Томской области" (в редакции от 13.08.2018 № 826)</t>
  </si>
  <si>
    <t>19.06.2018- 31.12.2018</t>
  </si>
  <si>
    <t>Постановление Правительства РФ от 14.07.2012 N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</si>
  <si>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Подпрограмма 6</t>
  </si>
  <si>
    <t>Решение Думы Колпашевского района от 18.10.2005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t>
  </si>
  <si>
    <t>Гл.3, ст.17, п. 1., п.п. 8.1</t>
  </si>
  <si>
    <t>01.06.2013, не установлен</t>
  </si>
  <si>
    <t>Постановление Администрации Колпашевского района от 02.07.2013 № 625 "Об установлении расходного обязательства муниципального образования "Колпашевский район" по осуществлению отдельных государственных полномочий по Томской области по регулированию числен</t>
  </si>
  <si>
    <t>(306 555)</t>
  </si>
  <si>
    <t>(306 690)</t>
  </si>
  <si>
    <t>ст. 4</t>
  </si>
  <si>
    <t>Решение Думы Колпашевского района от 31.05.2018 № 36 "О предоставлении иных межбюджетных трансфертов бюджету муниципального образования "Колпашевское городское поселение" на компенсацию убытков теплоснабжающих организаций от эксплуатации муниципальных котельных"</t>
  </si>
  <si>
    <t>Решение Думы Колпашевского района от 18.06.2018 № 47 "О предоставлении иных межбюджетных трансфертов поселениям Колпашевского района на организацию водоснабжения" (в редакции от 18.12.2018 № 127)</t>
  </si>
  <si>
    <t>18.06.2018- 23.12.2018</t>
  </si>
  <si>
    <t>Решение Думы Колпашевского района от 18.06.2018 № 48 "О предоставлении иных межбюджетных трансфертов бюджету муниципального образования "Инкинское сельское поселение" на оплату электрической энергии по коммунальным объектам" (в редакции от 28.11.2018 № 110)</t>
  </si>
  <si>
    <t>28.08.2018- 23.12.2018</t>
  </si>
  <si>
    <t>Решение Думы Колпашевского района от 28.08.2018 № 76 "О предоставлении иных межбюджетных трансфертов бюджету муниципального образования "Новоселовское сельское поселение" на организацию теплоснабжения населения д.Маракса Новоселовского сельского поселения" (в редакции от 18.12.2018 № 129)</t>
  </si>
  <si>
    <t>Решение Думы Колпашевского района от 28.08.2018 № 75 "О предоставлении иных межбюджетных трансфертов бюджету муниципального образования "Чажемтовское сельское поселение" на ремонт сетей водоснабжения с.Озерное" (в редакции от 18.12.2018 № 128)</t>
  </si>
  <si>
    <t>Решение Думы Колпашевского района от 26.02.2018 № 16 "О предоставлении иных межбюджетных трансфертов бюджету муниципального образования "Колпашевское городское поселение" на выполнение мероприятий по благоустройству населенных пунктов" (в редакции от 28.08.2018 № 73, от 28.11.2018 № 106)</t>
  </si>
  <si>
    <t>15.06.2018- 31.12.2018</t>
  </si>
  <si>
    <t>Решение Думы Колпашевского района от 03.10.2018 № 91 "О предоставлении иных межбюджетных трансфертов бюджету муниципального образования "Колпашевское городское поселение" на организацию транспортного обслуживания населения внутренним водным транспортом в 2018 году" (в редакции от 28.11.2018 № 104)</t>
  </si>
  <si>
    <t>Постановление Администрации Колпашевского  района от 03.10.2018 № 1057 "О порядке использования средств субсидии из областного бюджета на организацию транспортного обслуживания населения Колпашевского района внутренним водным транспортом в границах муниципального района, в рамках подпрограммы "Развитие пассажирских перевозок на территории Томской области" государственной программы "Развитие транспортной системы в Томской области" (в редакции от 07.12.2018 № 1314)</t>
  </si>
  <si>
    <t>Постановление Администрации Колпашевского района от 20.09.2018 № 1006 "О порядке использования средств межбюджетного трансферта, выделенного из бюджета Томской области по итогам проведения областного ежегодного конкурса на лучшее муниципальное образование Томской области по профилактике правонарушений" (в редакции от 24.12.2018 № 1426, от 26.12.2018 № 1448)</t>
  </si>
  <si>
    <t>Постановление Администрации Колпашевского района от 08.10.2018 № 1063 "О предоставлении средств иных межбюджетных трансфертов на награждение сельского поселения, победителя районной сельскохозяйственной ярмарки "Дары осени", из бюджета муниципального образования "Колпашевский район" в 2018 году"</t>
  </si>
  <si>
    <t>08.10.2018- 30.11.2018</t>
  </si>
  <si>
    <t>Постановление Администрации Томской области от 06.09.2013 N 367а "О Порядке предоставления иных межбюджетных трансфертов на организацию системы выявления, сопровождения одаренных детей"</t>
  </si>
  <si>
    <t>06.09.2013, не установлен</t>
  </si>
  <si>
    <t>Закон Томской области от 28 декабря 2010 г. N 336-ОЗ "О предоставлении межбюджетных трансфертов"</t>
  </si>
  <si>
    <t>абз.8, п.1, ст.1</t>
  </si>
  <si>
    <t>Постановление Губернатора Томской области от 10.02.2012 N 13 "Об учреждении ежемесячной стипендии Губернатора Томской области молодым учителям областных государственных и муниципальных образовательных организаций Томской области"</t>
  </si>
  <si>
    <t>Постановление Администрации Колпашевского района от 16.11.2015 № 1160 "Об утверждении муниципальной программы "Развитие муниципальной системы образования Колпашевского района" (в редакции от 12.04.2016 № 371, от 15.08.2016 № 898, от 06.12.2016 № 1328, от 10.03.2017 № 196, от 29.12.2017 № 1380, от 05.09.2018 № 938)</t>
  </si>
  <si>
    <t>Постановление Адми нистрации Колпашевского района от 14.03.2016 № 252 "Об утверждении Порядка предоставления мер социальной поддержки, предусмотренных решением Думы Колпашевского района от 27.11.2015 № 37" (в редакции от 06.12.2016 № 1330, от 27.03.2017 № 259)</t>
  </si>
  <si>
    <t>Решение Думы Колпашевского района от 18.03.2011 № 23 "Об организации проведения районных мероприятий и обеспечении участия в мероприятиях регионального, межрегионального, федерального уровней в сфере образования" (в редакции от 16.12.2011 № 167, от 17.06.2013 № 56, от 28.05.2014 № 51, от 02.11.2015 № 6, от 30.05.2016 № 41, от 24.11.2016 № 112, от 16.02.2017 № 3)</t>
  </si>
  <si>
    <t xml:space="preserve"> ст. 9, ст. 40</t>
  </si>
  <si>
    <t>Постановление Администрации Колпашевского района от 16.11.2015 № 1160 "Об утверждении муниципальной программы "Развитие муниципальной системы образования Колпашевского района" (в редакции от 12.04.2016 № 371, от 15.08.2016 № 898, от 06.12.2016 № 1328, от 10.03.2017 № 196, от 29.12.2017 № 1380, от 05.09.2018 № 38)</t>
  </si>
  <si>
    <t>Постановление Главы Колпашевского района от  10.12.2018 № 231 "О порядке расходования средств бюджетных ассигнований резервного фонда финансирования непредвиденных расходов Администрации Томской области"</t>
  </si>
  <si>
    <t>Распоряжение Администрации Томской области от 30.05.2018 N 360-ра "О реализации мероприятий по формированию современных управленческих и организационно-экономических механизмов в системе дополнительного образования детей и регионального приоритетного проекта "Доступное дополнительное образование для детей в Томской области"</t>
  </si>
  <si>
    <t>30.05.2018- 31.12.2019</t>
  </si>
  <si>
    <t>Постановление Главы Колпашевского района от 07.08.2018 № 144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17.07.2018 № 207-р-в)</t>
  </si>
  <si>
    <t>07.08.2018- 01.11.2018</t>
  </si>
  <si>
    <t>Постановление Администрации Томской области от 26.01.2017 N 19а "Об утверждении Порядка предоставления из областного бюджета субсидий бюджетам муниципальных образований Томской области на обеспечение организации отдыха детей в каникулярное время и их расходования"</t>
  </si>
  <si>
    <t>Постановление Администрации Колпашевского района от 31.03.2016 № 334 "Об утверждении муниципальной программы "Развитие молодежной политики, физической культуры и массового спорта на территории муниципального образования "Колпашевский район" (в редакции от 27.04.2016 № 420, от 21.06.2016 № 686, от 09.09.2016 № 1051, от 24.11.2016 № 1286, от 21.12.2016 № 1381, от 29.12.2016 № 1439, от 03.03.2017 № 158, от 15.03.2017 № 214, от 13.06.2017 № 529, от 29.12.2017 № 1382, от 17.08.2018 № 861)</t>
  </si>
  <si>
    <t>Решение Думы Колпашевского района от 15.12.2014 № 136 "О финансировании за счёт средств бюджета муниципального образования "Колпашевский район" мероприятий по содержанию комплекса спортивных сооружений муниципального автономного образовательного учреждения дополнительного образования детей "Детско-юношеская спортивная школа имени О. Рахматулиной"</t>
  </si>
  <si>
    <t>Федеральный Закон от 29.12.2012 № 273-ФЗ "Об образовании в РФ"</t>
  </si>
  <si>
    <t>Гл. 12, ст. 89, п. 3</t>
  </si>
  <si>
    <t>Решение Думы Колпашевского района от 15.12.2014 № 135 "О финансировании за счёт средств бюджета муниципального образования "Колпашевский район" мер социальной поддержки в виде компенсации расходов по оплате стоимости проезда к месту учебы и обратно для гражданина, заключившего договор о целевом обучении с муниципальной образовательной организацией Колпашевского района" (в редакции от 31.07.2015 № 68, от 28.08.2018 № 67)</t>
  </si>
  <si>
    <t>Постановление Администрации Колпашевского района от 30.06.2010 № 851 "Об установлении расходных обязательств по осуществлению отдельных государственных полномочий, переданных в соответствие с п.5 ст.1 Закона Томской области от 15.12.2004 № 246-ОЗ" (в редакции от 13.03.2014 № 221)</t>
  </si>
  <si>
    <t>п. 2-3, п.п. 2</t>
  </si>
  <si>
    <t>ст. 4, п. 5</t>
  </si>
  <si>
    <t>ст.2, ст.4</t>
  </si>
  <si>
    <t>1.1.1.18.3. организация системы выявления, сопровождения одаренных детей</t>
  </si>
  <si>
    <t>1.1.1.18.4. стипендии Губернатора Томской области лучшим учителям МОУ Томской области</t>
  </si>
  <si>
    <t>1.1.1.18.5. стипендии Губернатора Томской области молодым учителям МОУ Томской области</t>
  </si>
  <si>
    <t xml:space="preserve">1.1.1.19.1. Создание условий для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общеобразовательных организациях муниципального образования </t>
  </si>
  <si>
    <t>1.1.1.19.2. компенсация расходов на питание обучающимся общеобразовательных учреждений</t>
  </si>
  <si>
    <t>1.1.1.19.3. стипендии Губернатора Томской области молодым учителям МОУ Томской области</t>
  </si>
  <si>
    <t>1.1.1.20.1. организация предоставления дополнительного образования на территории муниципального района</t>
  </si>
  <si>
    <t>1.1.1.20.2. стимулирующие выплаты работникам организаций дополнительного образования</t>
  </si>
  <si>
    <t>1.1.1.20.3. повышение заработной платы педагогических работников муниципальных учреждений дополнительного образования детей</t>
  </si>
  <si>
    <t>1.1.1.20.4. Субсидия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</si>
  <si>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1.1.1.20.5. МП "Обеспечение безопасности  населения Колпашевского района"</t>
  </si>
  <si>
    <t>1.1.1.20.6. МП "Развитие муниципальной системы образования в Колпашевском районе"</t>
  </si>
  <si>
    <t xml:space="preserve">1.1.1.20.6. расходы за счет резервных фондов Администрации Томской области </t>
  </si>
  <si>
    <t>1.1.1.32.1. обеспечение деятельности учреждений культуры и мероприятия в области культуры</t>
  </si>
  <si>
    <t>1.1.1.32.2. субсидии местным бюджетам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муниципальных учреждений  культуры и муниципальных учреждений в сфере архивного дела"</t>
  </si>
  <si>
    <t>1.1.1.32.3. субсидии местным бюджетам на оплату труда руководителям и специалистам муниципальных учреждений культуры и искусства, в части выплаты надбавок и доплат к тарифной ставке (должностному окладу)</t>
  </si>
  <si>
    <t>1.1.1.32.4. субсидии на обеспечение развития и укрепления материально- технической базы муниципальных домов культуры Томской области</t>
  </si>
  <si>
    <t>1.1.1.44.1. обеспечение условий для развитие физической культуры  и массового спорта</t>
  </si>
  <si>
    <t>1.1.1.44.2. Субсидия на приобретение спортивного инвентаря и оборудования для муниципальных детско-юношеских спортивных школ, спортивных школ, специализированных детско-юношеских спортивных школ олимпийского резерва</t>
  </si>
  <si>
    <t>1.1.1.44.3. субсидиии местным бюджетам на обеспечение условий для развития физической культуры и массового спорта</t>
  </si>
  <si>
    <t>1.1.1.44.4. субсидий местным бюджетам на укрепление материально-технической базы физической культуры и спорта муниципальных образований, принимающих областные сельские спортивные игры, в рамках государственной программы "Развитие молодежной политики, физической культуры и спорта в Томской области" на 2017 год и на плановый период 2018 и 2019 годов</t>
  </si>
  <si>
    <t>1.1.1.44.5.физкультурно-оздоровительная работа</t>
  </si>
  <si>
    <t>1.6.4.2.4.4. Субсидия на софинансирование расходных обязательств по решению вопросов местного значения, возникающих в связи с реализацией Администрацией поселения проекта "Ремонт асфальтобетонного покрытия пешеходного тротуара в г.Колпашево по ул.Горького</t>
  </si>
  <si>
    <t>1.6.4.2.4.5. Иные межбюджетные трансферты на ремонт автомобильных дорог общего пользования местного значения в границах населенных пунктов муниципального образования "Саровское сельское поселение"</t>
  </si>
  <si>
    <t>1.6.4.2.4.6. Иные межбюджетные трансферты на 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муниципального образования "Колпашевский район"</t>
  </si>
  <si>
    <t>1.6.4.2.4.7. Иные межбюджетные трансферты на восстановление пешеходных переходов в рамках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t>
  </si>
  <si>
    <t>1.6.4.2.11.2. Иные межбюджетные трансферты на проведение областного ежегодного конкурса на лучшее муниципальное образование Томской области по профилактике правонарушений</t>
  </si>
  <si>
    <t>1.6.4.2.20.1. субсидии местным бюджетам на обеспечение условий для развития физической культуры и массового спорта</t>
  </si>
  <si>
    <t>Закон Томской области от 13.06.2007 № 112-ОЗ "О реализации государственной политики в сфере культуры и искусства на территории Томской области"</t>
  </si>
  <si>
    <t>п.п.6 п.5 Порядка</t>
  </si>
  <si>
    <t>Постановление Администрации Колпашевского района от 21.03.2016 № 278 "Об утверждении муниципальной программы "Развитие культуры и туризма в Колпашевском районе" (в редакции от 04.04.2016 № 336, от 01.06.2016 № 610, от 04.10.2016 № 1112, от 15.11.2016 № 1253, от 14.12.2016 № 1361, от 30.12.2016 № 1448, от 10.03.2017 № 192, от 29.12.2017 № 1381, от 18.05.2018 № 431)</t>
  </si>
  <si>
    <t>Постановление Администрации Колпашевского района от 27.02.2018 № 154 "О порядке расходования средств субсидии из областного бюджета на достижение целевых показателей по плану мероприятий ("дорожной карте") "Изменения в сфере культуры, направленные на повышение её эффективности в Колпашевском районе", в части повышения заработной платы работников муниципальных учреждений культуры и муниципальных учреждений в сфере архивного дела" (в редакции от 03.04.2018 № 291, от 03.07.2018 № 648, от 19.12.2018 № 1384)</t>
  </si>
  <si>
    <t>Постановление Администрации Колпашевского района от 15.03.2018 № 209 "О порядке расходования средств субсидии из областного бюджета в 2018 году на обеспечение развития и укрепления материально-технической базы домов культуры в населённых пунктах с числом жителей до 50 тысяч человек"</t>
  </si>
  <si>
    <t>15.03.2018- 31.12.2018</t>
  </si>
  <si>
    <t>Постановление Главы Колпашевского района от 09.04.2018 № 65 "О порядке расходования бюджетных ассигнований резервного фонда финансирования непредвиденных расходов Администрации Томской области" (распоряжение АТО от 19.03.2018 № 43-р-в)</t>
  </si>
  <si>
    <t>Постановление Главы Колпашевского района от 04.12 2018 № 221 "О порядке расходования бюджетных ассигнований резервного фонда финансирования непредвиденных расходов Администрации Томской области" (распоряжение АТО от 20.11.2018 № 352-р-в)</t>
  </si>
  <si>
    <t>Гл.3, ст.15, п.1,  п.п. 19</t>
  </si>
  <si>
    <t>Федеральный закон от 29 декабря 1994 г. N 78-ФЗ "О библиотечном деле"</t>
  </si>
  <si>
    <t>ст. 15, п. 2</t>
  </si>
  <si>
    <t>ст.24</t>
  </si>
  <si>
    <t>09.10.1997, не установлен</t>
  </si>
  <si>
    <t>Постановление Главы Колпашевского района от 04.12 2018 № 223 "О порядке расходования бюджетных ассигнований резервного фонда финансирования непредвиденных расходов Администрации Томской области" (распоряжение АТО от 20.11.2018 № 352-р-в)</t>
  </si>
  <si>
    <t xml:space="preserve">Закон Томской области от 28 декабря 2010 г. N 336-ОЗ "О предоставлении межбюджетных трансфертов" </t>
  </si>
  <si>
    <t>п. 1, абз.5</t>
  </si>
  <si>
    <t>Постановление Администрации Томской области от 13.05.2010 N 94а "О Порядке предоставления из областного бюджета субсидий бюджетам муниципальных образований Томской области и их расходования"</t>
  </si>
  <si>
    <t>Закон Томской области от 09.10.1997 "О библиотечном деле и обязательном экземпляре документов в Томской области"</t>
  </si>
  <si>
    <t>ст.15 п.1 пп.19.1</t>
  </si>
  <si>
    <t>Решение Думы Колпашевского района от 15.12.2014 № 151 "Об Управлении по культуре, спорту и молодёжной политике Администрации Колпашевского района и утверждении Положения об Управлении по культуре, спорту и молодёжной политике Администрации Колпашевского района" (в редакции от 28.06.2016 № 54)</t>
  </si>
  <si>
    <t>прил.1 к особенностям</t>
  </si>
  <si>
    <t>Постановление Администрации Томской области от 26.04.2011 N 118а "О реализации на территории Томской области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"Обеспечение жильем молодых семей в Томской области" государственной программы "Обеспечение доступности жилья и улучшение качества жилищных условий населения Томской области"</t>
  </si>
  <si>
    <t>26.04.2011- 31.12.2020</t>
  </si>
  <si>
    <t>Постановление Администрации Колпашевского района от 29.09.2015 № 998 "О порядке расходования средств субсидии на софинансирование расходных обязательств муниципального образования "Колпашевский район" на предоставление социальных выплат молодым семьям для приобретения (строительства) жилья в рамках подпрограммы "Обеспечение жильём молодых семей" федеральной целевой программы "Жилище" на 2015-2020 годы и подпрограммы "Обеспечение жильем молодых семей в Томской области" государственной программы "Обеспечение доступности жилья и улучшения качества жилищных условий населения томской области" (в редакции от 27.04.2016 № 423)</t>
  </si>
  <si>
    <t>ст. 5</t>
  </si>
  <si>
    <t>п. 1 абз. 3</t>
  </si>
  <si>
    <t>Постановление Администрации Колпашевского района от 29.06.2010 № 846 "Об установлении расходных обязательств по осуществлению отдельных государственных полномочий по регулированию тарифов на перевозки пассажиров и багажа всеми видами общественного траснпорта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(в редакции от 14.01.2016 № 9)</t>
  </si>
  <si>
    <t xml:space="preserve">Закон Томской области от 13.08.2007 N 170-ОЗ "О межбюджетных отношениях в Томской области" </t>
  </si>
  <si>
    <t>п. 2-3, п.п. 4</t>
  </si>
  <si>
    <t>ст. 8,  п. 2, п.п. 1</t>
  </si>
  <si>
    <t>Постановление Администрации Колпашевского района от 24.09.2012 № 942 "О порядке расходования средств межбюджетных трансфертов на выплату стипендии Губернатора Томской области лучшим учителям муниципальных образовательных учреждений Томской области, перечисленных в бюджет муниципального образования "Колпашевский район" в соответствии с постановлением Администрации Томской области от 20.08.2012 № 316 а" (в редакции от 20.03.2013 № 262, от 05.10.2016 № 1121)</t>
  </si>
  <si>
    <t>Постановление Администрации Колпашевского района от 10.12.2015 № 1257 "Об утверждении муниципальной программы "Обеспечение безопасности населения Колпашевского района" (в редакции от 11.07.2016 № 768, от 09.09.2016 № 1050, от 05.10.2016 № 1122, от 21.11.2016 № 1276, от 15.03.2017 № 216, от 31.01.2018 № 65, от 16.05.2018 № 414 )</t>
  </si>
  <si>
    <t>п.2
пп 51</t>
  </si>
  <si>
    <t>06.11.2018, не установлен</t>
  </si>
  <si>
    <t>Постановление Администрации Томской области от 24.10.2018 N 415а "Об утверждении Методики определения размера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 и определении нормативов расходов на обеспечение государственных гарантий реализации прав"</t>
  </si>
  <si>
    <t>Постановление Администрации Томской области от 25.10.2018 N 416а "Об утверждении Методики определения размера субвенций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 и определении нормативов расходов на обеспечение государственных гарантий реализации прав"</t>
  </si>
  <si>
    <t>09.11.2018, не установлен</t>
  </si>
  <si>
    <t>Постановление Администрации Колпашевскогго района от 16.04.2015 № 417 "О порядке распределения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 (в редакции от 08.09.2015 № 900, от 10.02.2016 № 104, от 11.01.2017 № 3, от13.12.2017 № 1319, от 02.04.2018 № 281, 20.12.2018 № 1408)</t>
  </si>
  <si>
    <t>(100 301)</t>
  </si>
  <si>
    <t>1.6.4.2.1.5. ИМБТ на выполнение работ по координатному описанию границ населенных пунктов Инкинского сельского поселения"</t>
  </si>
  <si>
    <t>1.6.4.2.1.6. ИМБТ на выполнение работ по координатному описанию границ населенных пунктов Колпашевского городского поселения"</t>
  </si>
  <si>
    <t>(100 304)</t>
  </si>
  <si>
    <t>1.6.4.2.1.7. ИМБТ на выполнение работ по координатному описанию границ населенных пунктов Новоселовского сельского поселения"</t>
  </si>
  <si>
    <t>1.6.4.2.1.8. ИМБТ на выполнение работ по координатному описанию границ населенных пунктов Чажемтовского сельского поселения"</t>
  </si>
  <si>
    <t>2329 (100 306)</t>
  </si>
  <si>
    <t>1.6.2.2.1.23. Иные межбюджетные трансферты на проектирование объекта: "Газораспределительные сети г.Колпашево и с.Тогур Колпашевского района Томской области, VIII очередь. 1 этап"</t>
  </si>
  <si>
    <t>(201 579)</t>
  </si>
  <si>
    <t>1.6.4.2.26.1.6. Иные межбюджетные трансферты на выполнение мероприятий по благоустройству населенных пунктов</t>
  </si>
  <si>
    <t>1.6.4.2.21.10. ИМБТ на подготовку спортивных сооружений к проведению межпоселенческой спартакиады в с.Инкино</t>
  </si>
  <si>
    <t>1027</t>
  </si>
  <si>
    <t>2103</t>
  </si>
  <si>
    <t>2329</t>
  </si>
  <si>
    <t>1725</t>
  </si>
  <si>
    <t>(224 545)</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</si>
  <si>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</si>
  <si>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 (213 542)</t>
  </si>
  <si>
    <t>1.1.1.32.6. межбюджетные трансферты из резервного фонда финансирования непредвиденных расходов Администрации Томской области</t>
  </si>
  <si>
    <t>1.1.1.32.5. субсидии на разработку ПСД и капитальный ремонт объектов муниципальной собственности в сфере культуры</t>
  </si>
  <si>
    <t>(210 544)</t>
  </si>
  <si>
    <t>(208 543)</t>
  </si>
  <si>
    <t>Постановление Администрации Колпашевского района от 18.01.2019 № 30 "О порядке расходования средств субсидии на компенсацию расходов по организации электроснабжения от дизельных электростанций"</t>
  </si>
  <si>
    <t>01.01.2018- 28.12.2018</t>
  </si>
  <si>
    <t>30.01.2019- 15.03.2019</t>
  </si>
  <si>
    <t>06.02.2019- 20.12.2019</t>
  </si>
  <si>
    <t>Решение Думы Колпашевского районат от 06.02.2019 № 4 "О предоставлении иных межбюджетных трансфертов бюджету муниципального образования "Колпашевское городское поселение" на выполнение мероприятий по благоустройству населенных пунктов"</t>
  </si>
  <si>
    <t>Решение Думы Колпашевского района от 06.02.2019 № 3 "О предоставлении за счет средств бюджета МО "Колпашевский район"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ВОв 1941-1945 годов; труженников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1941-1945 годов, не вступивших в повторный брак"</t>
  </si>
  <si>
    <t>06.02.2019- 31.12.2019</t>
  </si>
  <si>
    <t>Постановление Администрации Колпашевского района от 15.02.2019 № 145 "О порядке расходования средств субсидии на обеспечение участия спортивных сборных команд муниципальных районов и городских округов Томской области в официальных региональных спортивных, физкультурных мероприятиях, проводимых на территории Томской области, за исключением спортивных сборных команд муниципального образования "Город Томск", муниципального образования "Городской округ - закрытое административно-территориальное образование Северск Томской области", муниципального образования "Томский район"</t>
  </si>
  <si>
    <t>15.02.2019- 31.12.2019</t>
  </si>
  <si>
    <t>Постановление Администрации Колашевского района от 12.02.2016 № 141 "О порядке расходования средств субсидии на оплату труда руководителям и специалистам муниципальных учреждений культуры и искусства в части выплат надбавок и доплат к тарифной ставке (должностному окладу) из областного бюджета" (вредакции от 01.03.2017 № 150, от 06.10.2017 № 1020, от 13.02.2018 № 115, от 21.02.2019 № 163)</t>
  </si>
  <si>
    <t>12.02.2016- 31.12.2019</t>
  </si>
  <si>
    <t>03.02.2016- 26.02.2019</t>
  </si>
  <si>
    <t>Постановление Администрации Колпашевского района от 03.02.2016 № 72 "Об утверждении Порядка предоставления субсидии на возмещение недополученных доходов перевозчикам, осуществляющим регулярные пассажирские перевозки автомобильным транспортом общего пользования по муниципальным автобусным маршрутам между поселениями в границах муниципального образования "Колпашевский район" (за исключением социально-значимых муниципальных автобусных маршрутов)" (в редакции от 03.03.2016 № 224, от 24.11.2016 № 1281, от 08.06.2017 № 518, от 12.01.2018 № 4, от 23.04.2018 № 359, от 26.02.2019 № 184)</t>
  </si>
  <si>
    <t>Решение думы Колпашевского района от 06.02.2019 № 6 "О предоставлении иных межбюджетных трансфертов бюджету муниципального образования "Чажемтовское сельское поселение" на выполнение работ по координатному описанию границ населенных пунктов Чажемтовского сельского поселения"</t>
  </si>
  <si>
    <t>06.02.2019- 23.12.2019</t>
  </si>
  <si>
    <t>Решение думы Колпашевского района от 06.02.2019 № 7 "О предоставлении иных межбюджетных трансфертов бюджету муниципального образования "Инкинское сельское поселение" на выполнение работ по координатному описанию границ населенных пунктов Инкинского сельского поселения"</t>
  </si>
  <si>
    <t>Решение Думы Колпашевского района от 06.02.2019 № 8 "О предоставлении иных межбюджетных трансфертов бюджету муниципального образования "Инкинское сельское поселение" на реализацию мероприятия "Предоставление субсидий бюджетам муниципальных образований Томской области на подготовку проектов генерального плана, правил землепользования и застройки вновь образованных муниципальных образований" подпрограммы "Стимулирование развития жилищного строительства в Томской области" государственной программы "Обеспечение доступности жилья и улучшения качества жилищных условий населения Томской области"</t>
  </si>
  <si>
    <t>Решение думы Колпашевского района от 06.02.2019 № 9 "О предоставлении иных межбюджетных трансфертов бюджету муниципального образования "Новоселовское сельское поселение" на выполнение работ по координатному описанию границ населенных пунктов Новоселовского сельского поселения"</t>
  </si>
  <si>
    <t>Решение Думы Колпашевского района от 06.02.2019 № 10 "О предоставлении иных межбюджетных трансфертов бюджету муниципального образования "Новоселовское сельское поселение" на реализацию мероприятия "Предоставление субсидий бюджетам муниципальных образований Томской области на подготовку проектов генерального плана, правил землепользования и застройки вновь образованных муниципальных образований" подпрограммы "Стимулирование развития жилищного строительства в Томской области" государственной программы "Обеспечение доступности жилья и улучшения качества жилищных условий населения Томской области"</t>
  </si>
  <si>
    <t>Решение думы Колпашевского района от 06.02.2019 № 11 "О предоставлении иных межбюджетных трансфертов бюджету муниципального образования "Колпашевское городское поселение" на выполнение работ по координатному описанию границ населенных пунктов Колпашевского городского поселения"</t>
  </si>
  <si>
    <t>Постановление Администрации Колпашевского района от 26.02.2019 № 191 "О порядке расходования средств субсидии на обеспечение условий для развития физической культуры и массового спорта"</t>
  </si>
  <si>
    <t>26.02.2019- 23.12.2019</t>
  </si>
  <si>
    <t>(206 546, 206 547)</t>
  </si>
  <si>
    <t>1.6.2.2.1.24. Иные межбюджетные трансферты на строительство объекта: "Газораспределительные сети г.Колпашево и с.Тогур Колпашевского района Томской области, 7 очередь"</t>
  </si>
  <si>
    <t>(100 310)</t>
  </si>
  <si>
    <t>1.6.2.2.1.25. Иные межбюджетные трансферты на организацию теплоснабжения населения в границах муниципального образования "Колпашевское городское поселение"</t>
  </si>
  <si>
    <t>1.6.4.2.4.3. Субсидия из областного бюджета на выполнение полномочий органов местного самоуправления по осуществлению дорожной деятельности в части капитального ремонта и (или) ремонта автомобильных дорог общего пользования местного значения в границах муниципального образования (в том числе на обустройство пешеходных переходов в соответствии с национальными стандартами и ремонт пешеходных дорожек) в рамках государственной программы "Развитие транспортной системы в Томской области"</t>
  </si>
  <si>
    <t>1.6.4.2.4.8.  Иные межбюджетные трансферты на ремонт автомобильных дорог общего пользования местного значения в границах населенных пунктов поселений Колпашевского района</t>
  </si>
  <si>
    <t>(100 309)</t>
  </si>
  <si>
    <t>1.6.4.2.26.1.7. Иные межбюджетные трансферты на выполнение работ по разработке дизайн - проектов общественных территорий</t>
  </si>
  <si>
    <t>1.6.4.2.26.1.8. Иные межбюджетные трансферты на благоустройство общественных территорий</t>
  </si>
  <si>
    <t>(499 801) (802)</t>
  </si>
  <si>
    <t>Постановление Главы Колпашевского района от 19.02.2019 № 32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04.02.2019 № 8-р-в)</t>
  </si>
  <si>
    <t>19.02.2019- 01.12.2019</t>
  </si>
  <si>
    <t>Постановление Главы Колпашевского района от 25.02.2019 № 37 "О порядке расходования бюджетных ассигнований резервного фонда финансирования непредвиденных расходов Администрации Томской области"</t>
  </si>
  <si>
    <t>25.02.2019- 31.12.2019</t>
  </si>
  <si>
    <t>Постановление Администрации Колпашевского района от 26.02.2019 № 185 "О порядке использования средств субсидии из областного бюджета на капитальный ремонт и (или) ремонт автомобильных дорог общего пользования местного значения в рамках государственной программы "Развитие транспортной системы в Томской области"</t>
  </si>
  <si>
    <t>26.02.2019- 29.10.2019</t>
  </si>
  <si>
    <t>Решение Думы Колпашевского района от 24.12.2010 № 36 "О компенсации расходов на питание обучающимся муниципальных общеобразовательных учреждений Колпашевского района" (в редакции от 29.08.2011 № 91, от 16.12.2011 № 166, от 13.02.2012 № 25, от 10.09.2012 № 116, от 19.12.2012 № 153, от 05.09.2013 № 69, от 28.10.2013 № 87, от 30.01.2014 № 3, от 15.12.2014 № 133, от 15.12.2014 № 134, от 07.09.2015 № 81, от 21.12.2015 № 50, от 24.11.2016 № 111, 19.12.2016 № 124, от 16.02.2017 № 2, от 28.03.2017 № 14, от 28.09.2017 № 79, от 22.12.2017 № 113, от 27.04.2018 № 26, от 28.08.2018 № 64, от 18.12.2018 № 120, от 06.02.2019 № 2, от 28.02.2019 № 17)</t>
  </si>
  <si>
    <t>Решение Думы Колпашевского района от 28.06.2016 № 59 "Об утверждении Положения о порядке финансирования расходов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муниципальных общеобразовательных организациях муниципального образования "Колпашевский район" за счёт средств бюджета муниципального образования "Колпашевский район" (в редакции от 19.12.2016 № 125, от 28.02.2019)</t>
  </si>
  <si>
    <t>Решение Думы Колпашевского района от 28.06.2016 № 59 "Об утверждении Положения о порядке финансирования расходов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муниципальных общеобразовательных организациях муниципального образования "Колпашевский район" за счёт средств бюджета муниципального образования "Колпашевский район" (в редакции от 19.12.2016 № 125, от 28.02.2019 № 18)</t>
  </si>
  <si>
    <t>Решение Думы Колпашевского района от 28.02.2019 № 19 "О мерах по реализации постановления Администрации Томской области от 24 октября 2018 г. N 415а "Об утверждении Методики определения размера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 и определении нормативов расходов на обеспечение государственных гарантий реализации прав"</t>
  </si>
  <si>
    <t>01.01.2019, не установлен</t>
  </si>
  <si>
    <t>28.02.2019- 23.12.2019</t>
  </si>
  <si>
    <t>Решение Думы Колпашевского района от 28.02.2019 № 21 "О предоставлении иных межбюджетных трансфертов бюджету муниципального образования "Колпашевское городское поселение" на строительство объекта: "Газораспределительные сети г.Колпашево и с.Тогур Колпашевского района Томской области, 7 очередь"</t>
  </si>
  <si>
    <t>28.02.2019- 22.12.2019</t>
  </si>
  <si>
    <t>Решение Думы Колпашевского района от 28.02.2019 № 22 "О предоставлении иных межбюджетных трансфертов бюджету муниципального образования "Колпашевское городское поселение" на выполнение работ по разработке дизайн-проектов общественных территорий"</t>
  </si>
  <si>
    <t>Решение Думы Колпашевского района от 28.02.2019 № 23 "О предоставлении иных межбюджетных трансфертов бюджету муниципального образования "Колпашевское городское поселение" на организацию теплоснабжения населения в границах муниципального образования "Колпашевское городское поселение"</t>
  </si>
  <si>
    <t>28.02.2019- 01.12.2019</t>
  </si>
  <si>
    <t>28.02.2019- 29.10.2019</t>
  </si>
  <si>
    <t>Решение Думы Колпашевского района от 28.02.2019 № 24 "О предоставлении иных межбюджетных трансфертов бюджетам поселений Колпашевского района на ремонт автомобильных дорог общего пользования местного значения в границах населенных пунктов поселений Колпашевского района"</t>
  </si>
  <si>
    <t>Постановление Главы Колпашевского района от 05.03.2019 № 42 "О распределении средств иных межбюджетных трансфертов Колпашевскому городскому поселению на исполнение решений Колпашевского городского суда Томской области"</t>
  </si>
  <si>
    <t>05.03.2019- 20.12.2019</t>
  </si>
  <si>
    <t>Постановление Главы колпашевского района от 05.03.2019 "О распределении средств иных межбюджетных трансфертов Колпашевскому городскому поселению на исполнение решений Колпашевского городского суда Томской области"</t>
  </si>
  <si>
    <t>Постановление Главы Колпашевского района от 25.03.2019 № 54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</si>
  <si>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(215 541)</t>
  </si>
  <si>
    <t>(209 533)</t>
  </si>
  <si>
    <t>1.1.1.18.7. Субсидия из бюджета Томской области бюджету муниципального образования "Колпашевский район"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</si>
  <si>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(209 530)</t>
  </si>
  <si>
    <t>(209 531)</t>
  </si>
  <si>
    <t>(209 532)</t>
  </si>
  <si>
    <t>1.1.1.18.6. Субсидия из бюджета Томской области бюджету муниципального образования "Колпашевский район" на обновление материально-технической базы для формирования у обучающихся современных технологических и гуманитарных навыков</t>
  </si>
  <si>
    <t>1.1.1.18.8. МП "Обеспечение безопасности  населения Колпашевского района"</t>
  </si>
  <si>
    <t>1.1.1.18.9. МП "Развитие муниципальной системы образования в Колпашевском районе"</t>
  </si>
  <si>
    <t xml:space="preserve">1.1.1.18.10. расходы за счет резервных фондов Администрации Томской области </t>
  </si>
  <si>
    <t>(215 538)</t>
  </si>
  <si>
    <t>(215 537)</t>
  </si>
  <si>
    <t>499 712</t>
  </si>
  <si>
    <t>(206 536)</t>
  </si>
  <si>
    <t>(206 548)</t>
  </si>
  <si>
    <t>(206 534)</t>
  </si>
  <si>
    <t>(206 535)</t>
  </si>
  <si>
    <t>(206 546)</t>
  </si>
  <si>
    <t>(206 547)</t>
  </si>
  <si>
    <t>1.4.2.98.на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</si>
  <si>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(309 701)</t>
  </si>
  <si>
    <t>1898 (309 572)</t>
  </si>
  <si>
    <t>1828 (312 552)</t>
  </si>
  <si>
    <t>1.6.4.2.2.2.3. Субсидия из областного бюджета на реализацию мероприятий подпрограммы "Развитие и модернизация коммунальной инфраструктуры Томской области" государственной программы "Развитие коммунальной и коммуникационной инфраструктуры в Томской области" по проведению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</si>
  <si>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1.6.4.2.21.11. Иные межбюджетные трансферты на поощрение поселенческих команд, участвовавших в XII зимней межпоселенческой спартакиаде в с. Инкино</t>
  </si>
  <si>
    <t>1.6.4.2.21.12. МБТ из резервного фонда финансирования непредвиденных расходов Администрации Томской области (в соответствии с распоряжением АТО от 04.02.2019 № 8-р-в)</t>
  </si>
  <si>
    <t>1.6.4.2.26.1.9. Иные межбюджетные трансферты на приобретение контейнеров для сбора твердых коммунальных отходов</t>
  </si>
  <si>
    <t>1.6.4.2.26.2.3. МБТ из резервного фонда финансирования непредвиденных расходов Администрации Томской области (в соответствии с распоряжением АТО от 01.03.2019 № 43- р-в)</t>
  </si>
  <si>
    <t>1.6.4.2.26.2.4. МБТ из резервного фонда финансирования непредвиденных расходов Администрации Томской области (в соответствии с распоряжением АТО от 17.07.2018 № 207-р-в)</t>
  </si>
  <si>
    <t>1.6.4.2.26.2.5. МБТ из резервного фонда финансирования непредвиденных расходов Администрации Томской области (в соответствии с распоряжением АТО от 19.07.2018 № 217-р-в)</t>
  </si>
  <si>
    <t>(219 597)</t>
  </si>
  <si>
    <t>1.6.4.2.15.1.  Субсидия на обеспечение жителей отдаленных населенных пунктов Томской области услугами связи в рамках государственной программы "Развитие коммунальной и коммуникационной инфраструктуры в Томской области"</t>
  </si>
  <si>
    <t>1.6.4.2.15.2. Субсидия на реализацию проекта "Обустройство сквера с детской игровой площадкой в с. Тогур, Колпашевского района, Томской области" в рамках государственной программы "Развитие сельского хозяйства и регулируемых рынков в Томской области"</t>
  </si>
  <si>
    <t>1.6.4.2.15.3. Строительство инженерных сетей и зданий соцкульбыта в новом микрорайоне комплексной застройки "Юбилейный" в с. Чажемто Колпашевского района. Линейные объекты</t>
  </si>
  <si>
    <t>1898</t>
  </si>
  <si>
    <t>1828</t>
  </si>
  <si>
    <t>2317</t>
  </si>
  <si>
    <t>1.1.1.19.4. стипендии Губернатора Томской области лучшим учителям МОУ Томской области</t>
  </si>
  <si>
    <t>1.1.1.19.5. Субсидия из бюджета Томской области бюджету муниципального образования "Колпашевский район" на обновление материально-технической базы для формирования у обучающихся современных технологических и гуманитарных навыков</t>
  </si>
  <si>
    <t>1.1.1.19.6. Субсидия из бюджета Томской области бюджету муниципального образования "Колпашевский район" на внедрение целевой модели цифровой образовательной среды в общеобразовательных организациях и профессиональных образовательных организациях</t>
  </si>
  <si>
    <t>1.1.1.19.7. МП "Обеспечение безопасности  населения Колпашевского района"</t>
  </si>
  <si>
    <t>1.1.1.19.8. МП "Развитие муниципальной системы образования в Колпашевском районе"</t>
  </si>
  <si>
    <t>1.1.1.19.9. Субсидия на разработку проектно- сметной документации на строительство муниципальных общеобразовательных организаций в рамках государственной программы "Содействие созданию в Томской области новых мест в общеобразовательных организациях"</t>
  </si>
  <si>
    <t xml:space="preserve">1.1.1.19.10. расходы за счет резервных фондов Администрации Томской области </t>
  </si>
  <si>
    <t>1.6.4.2.17. создание условий для организации досуга и обеспечения жителей городского и сельского поселения услугами организаций культуры</t>
  </si>
  <si>
    <t>25.03.2019- 10.12.2019</t>
  </si>
  <si>
    <t>26.03.2019- 01.12.2019</t>
  </si>
  <si>
    <t>Решение думы Колпашевского района от 06.02.2019 № 5 "О предоставлении иных межбюджетных трансфертов бюджету муниципального образования "Колпашевское городское поселение" на проектирование объекта: "Газораспределительные сети г.Колпашево и с.Тогур Колпашевского района Томской области, VIII очередь. 1 этап" (в редакции от 27.03.2019 № 33)</t>
  </si>
  <si>
    <t xml:space="preserve">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решений Думы Колпашевского района от 23.08.2010 № 914, от 24.12.2010 № 32, от 18.03.2011 № 21, от 23.04.2012 № 48, от 24.05.2012 № 85, от 16.07.2012 № 95, от 19.12.2012 № 151, от 29.04.2013 № 33, от 25.11.2013 № 102, от 17.03.2014 № 18, от 27.10.2014 № 117, от 26.01.2015 № 7, от 24.08.2016 № 84, от 24.11.2016 № 114, от 26.02.20108 № 13, от 29.03.2018 № 21, от 27.03.2019 № 34)
</t>
  </si>
  <si>
    <t>Постановление Главы Колпашевского района от 04.04.2019 № 62 "О порядке расходования средств бюджетных ассигнований резервного фонда финансирования непредвиденных расходов Администрации Томской области на выполнение работ по ремонту детских игровых площадок и на приобретение детской спортивно-игровой площадки для установки по адресу: г. Колпашево, мкр Геолог, д.4"</t>
  </si>
  <si>
    <t>04.04.2019- 24.12.2019</t>
  </si>
  <si>
    <t>Постановление Администрации Колпашевского района от 10.04.2019 № 351 "О порядке расходования средств субсидии на реализацию мероприятий по обеспечению жильём молодых семей в рамках государственной и региональной программ"</t>
  </si>
  <si>
    <t>Постановление Администрации Колпашевского района от 11.04.2019 № 356 "О распределении средств иных межбюджетных трансфертов на поощрение поселенческих команд, участвовавших в XII зимней межпоселенческой спартакиаде в с. Инкино, из бюджета муниципального образования "Колпашевский район" в 2019 году"</t>
  </si>
  <si>
    <t>11.04.2019- 23.08.2019</t>
  </si>
  <si>
    <t>Постановление Администрации Колпашевского района  от 19.12.2013 № 1336 «О порядке расходования средств иных межбюджетных трансфертов на организацию системы выявления, сопровождения одарённых детей» (в редакции постановлений Администрации Колпашевского района от 30.07.2014 № 752, от 22.05.2015 № 510, от 05.04.2016 № 340, от 21.06.2017 № 580, от 13.04.2018 № 328, от 11.04.2019 № 358)</t>
  </si>
  <si>
    <t>13.12.2013- 31.12.2019</t>
  </si>
  <si>
    <t>Постановление Администрации Колпашевского района от 23.04.2019 № 406 "О порядке расходования средств субсидии из областного бюджета на реализацию программ формирования современной городской среды в рамках государственной программы "Формирование комфортной городской среды Томской области"</t>
  </si>
  <si>
    <t>23.04.2019- 20.12.2019</t>
  </si>
  <si>
    <t>Постановление Администрации Колпашевского района от 23.04.2019 № 410 "О порядке расходования средств субсидии из областного бюджета на достижение целевых показателей по плану мероприятий ("дорожной карте") "Изменения в сфере культуры, направленные на повышение её эффективности в Колпашевском районе", в части повышения заработной платы работников муниципальных учреждений культуры"</t>
  </si>
  <si>
    <t>01.01.2019- 31.12.2019</t>
  </si>
  <si>
    <t>Решение Думы Колпашевского района от 27.11.2015 № 37 "О финансировании расходов  на создание условий, обеспечивающих приток педагогических кадров в муниципальную систему образования Колпашевского района" (в редакции от 31.05.2018 № 34, от 28.08.2018 № 65, от 24.04.2019 № 38)</t>
  </si>
  <si>
    <t>Решение Думы Колпашевского района от 24.04.2019 № 39 "О предоставлении иных межбюджетных трансфертов бюджету муниципального образования "Колпашевское городское поселение" на приобретение и монтаж звукового оборудования для обеспечения звукового сопровождения мероприятий в г.Колпашево"</t>
  </si>
  <si>
    <t>24.04.2019- 23.12.2019</t>
  </si>
  <si>
    <t>Решение Думы Колпашевского района от 10.12.2008 № 580 "Об утверждении Положения об оплате труда и ежегодных основных оплачиваемых отпусках работников органов местного самоуправления Колпашевского района и работников органов Администрации Колпашевского района" (в редакции от 17.06.2010 № 853, от 14.02.2011 № 18, от 20.06.2011 № 61, от 06.07.2011 № 77, от 30.09.2011 № 112, от 23.04.2012 № 47, от 24.05.2012 № 87, от 10.09.2012 № 124, от 19.11.2012 № 144, от 27.03.2013 № 28, от 16.07.2013 № 63, от 30.01.2014 № 13, от 15.12.2014 № 164, от 25.03.2015 № 23, от 24.08.2016 № 71, от 16.02.2016 № 6, от 30.05.2017 № 45, от 29.09.2017 № 87, от 25.01.2018 № 1, от 24.04.2019 № 40)</t>
  </si>
  <si>
    <t>Решение Думы Колпашевского района от 24.04.2019 № 43 "О предоставлении иных межбюджетных трансфертов бюджету муниципального образования "Новоселовское сельское поселение" на выполнение мероприятий по благоустройству населенных пунктов"</t>
  </si>
  <si>
    <t>24.04.2019- 30.08.2019</t>
  </si>
  <si>
    <t>Решение Думы Колпашевского района от 24.04.2019 № 44 "О предоставлении иных межбюджетных трансфертов бюджетам поселений Колпашевского района на приобретение контейнеров для сбора твердых коммунальных отходов"</t>
  </si>
  <si>
    <t>24.04.2019- 26.09.2019</t>
  </si>
  <si>
    <t>Решение Думы Колпашевского района от 28.02.2019 "О предоставлении иных межбюджетных трансфертов бюджету муниципального образования "Колпашевское городское поселение" на благоустройство общественных территорий" (в редакции от 24.04.2019 № 45)</t>
  </si>
  <si>
    <t>Решение Думы Колпашевского района от 24.04.2019 № 46 "О предоставлении иных межбюджетных трансфертов бюджету муниципального образования "Чажемтовское сельское поселение" на строительство инженерных сетей и зданий соцкультбыта в новом микрорайоне комплексной застройки "Юбилейный" в с. Чажемто Колпашевского района"</t>
  </si>
  <si>
    <t>24.04.2019- 20.12.2019</t>
  </si>
  <si>
    <t>постановление Администрации Колпашевского района от 24.05.2013 № 487 "О порядке расходования средств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учреждений дополнительного образования детей (в редакции от 22.04.2014 № 371, от 16.09.2014 № 948, от 05.06.2015 № 559, от 16.09.2015 № 943, от 21.12.2015 № 1344, от 04.03.2016 № 232, от 19.04.2017 № 354, от 07.02.2018 № 94, от 19.09.2018 № 995, от 26.04.2019 № 418)</t>
  </si>
  <si>
    <t>Постановление Администрации Колпашевского района от 29.04.2019 № 427 "О порядке использования средств субсидии из областного бюджета на реализацию мероприятий подпрограммы "Развитие и модернизация коммунальной инфраструктуры Томской области" государственной программы "Развитие коммунальной и коммуникационной инфраструктуры в Томской области" по проведению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</si>
  <si>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29.04.2019- 28.11.2019</t>
  </si>
  <si>
    <t>Постановление Администрации Колпашевского района от 29.04.2019 № 430 "О порядке использования средств субсидии из областного бюджета на обеспечение жителей отдаленных населенных пунктов Томской области услугами связи в рамках государственной программы "Развитие коммунальной и коммуникационной инфраструктуры в Томской области"</t>
  </si>
  <si>
    <t>Постановление Администрации Колпашевского района от 06.05.2019 № 448 "О порядке распределения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t>
  </si>
  <si>
    <t>(309 569) (308 588) (709 569)</t>
  </si>
  <si>
    <t>Постановление Администрации Колпашевского района от 30.01.2019 № 69 "О предоставлении иных межбюджетных трансфертов бюджету муниципального образования "Инкинское сельское поселение" на подготовку спортивных сооружений к проведению межпоселенческой спартакиады в с. Инкино" (в редакции от 14.05.2019 № 464)</t>
  </si>
  <si>
    <t>17.05.2019- 31.12.2019</t>
  </si>
  <si>
    <t>Постановление Администрации Колпашевского района от 23.05.2019 № 518 "О порядке расходования средств субсидии из бюджета Томской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</si>
  <si>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23.05.2019- 31.12.2019</t>
  </si>
  <si>
    <t>Постановление Администрации Колпашевского района от 23.05.2019 № 519 "О порядке расходования средств субсидии из бюджета Томской области на обновление материально-технической базы для формирования у обучающихся современных технологических и гуманитарных навыков"</t>
  </si>
  <si>
    <t>Постановление Администрации Колпашевского района от 24.05.2019 № 536 "О порядке расходования средств субсидии из областного бюджета на реализацию государственной программы "Повышение энергоэффективности в Томской области" по объекту "Газораспределительные сети г.Колпашево и с.Тогур Колпашевского района Томской области. 7 очередь"</t>
  </si>
  <si>
    <t>24.05.2019- 31.12.2019</t>
  </si>
  <si>
    <t>Постановление Администрации Колпашевского района от 23.05.2019 № 520 "О порядке расходования средств субсидии местным бюджетам на софинансирование капитальных вложений в объекты муниципальной собственности в сфере обращения с твёрдыми коммунальными отходами в рамках государственной программы "Воспроизводство и использование природных ресурсов Томской области" (в редакции от 24.05.2019 № 539)</t>
  </si>
  <si>
    <t>Постановление Администрации Колпашевского района от 24.05.2013 № 488 "О порядке расходования средств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учреждений" (в редакции от 18.09.2014 № 972, от 23.06.2015 № 605, от 16.09.2015 № 944, от 21.12.2015 № 1343, от 04.03.2016 № 231, от 28.03.2016 № 318, от 27.04.2017 № 370, от 18.06.2018 № 538, от 29.05.2019 № 556)</t>
  </si>
  <si>
    <t>Постановление Главы Колпашевского района от 25.03.2019 № 55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22.02.2019 № 30-р-в)</t>
  </si>
  <si>
    <t>25.03.2019- 31.12.2019</t>
  </si>
  <si>
    <t>Постановление Админи страции Колпашевского района от 17.05.2019 № 82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09.04.2019 № 88-р-в)</t>
  </si>
  <si>
    <t>Постановление главы Колпашевского района от 26.03.2019 № 56 "О порядке расходования средств бюджетных ассигнований резервного фонда финансирования непредвиденных расходов Администрации Томской области" (в соответствии с распоряжением АТО от 01.03.2019 № 43- р-в)</t>
  </si>
  <si>
    <t>Постановление Главы Колпашевского района от 07.05.2019 № 75 "О порядке расходования бюджетных ассигнований резервного фонда финансирования непредвиденных расходов Администрации Томской области" (в соответствии с распоряжением АТО от 09.04.2019 № 88-р-в)</t>
  </si>
  <si>
    <t>07.05.2019- 31.12.2019</t>
  </si>
  <si>
    <t>Постановление Главы Колпашевского района от 21.03.2019 № 52 "О порядке расходования бюджетных ассигнований резервного фонда финансирования непредвиденных расходов Администрации Томской области" (в соответствии с распоряжением АТО от 01.03.2019 № 43-р-в)</t>
  </si>
  <si>
    <t>21.03.2019- 31.12.2019</t>
  </si>
  <si>
    <t>Реестр расходных обязательств муниципального образования "Колпашевский район" на 2019 год</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</si>
</sst>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
    <numFmt numFmtId="177" formatCode="#??/??"/>
    <numFmt numFmtId="178" formatCode="m/d/yy"/>
    <numFmt numFmtId="179" formatCode="d\-mmm\-yy"/>
    <numFmt numFmtId="180" formatCode="d\-mmm"/>
    <numFmt numFmtId="181" formatCode="mmm\-yy"/>
    <numFmt numFmtId="182" formatCode="m/d/yyyy\ h:mm"/>
    <numFmt numFmtId="183" formatCode="\(#,##0_);\(#,##0\)"/>
    <numFmt numFmtId="184" formatCode="\(#,##0_);[Red]\(#,##0\)"/>
    <numFmt numFmtId="185" formatCode="\(#,##0.00_);\(#,##0.00\)"/>
    <numFmt numFmtId="186" formatCode="\(#,##0.00_);[Red]\(#,##0.00\)"/>
    <numFmt numFmtId="187" formatCode="_(* #,##0_);_(* \(#,##0\);_(* &quot;-&quot;_);_(@_)"/>
    <numFmt numFmtId="188" formatCode="_(&quot;$&quot;* #,##0_);_(&quot;$&quot;* \(#,##0\);_(&quot;$&quot;* &quot;-&quot;_);_(@_)"/>
    <numFmt numFmtId="189" formatCode="_(* #,##0.00_);_(* \(#,##0.00\);_(* &quot;-&quot;??_);_(@_)"/>
    <numFmt numFmtId="190" formatCode="_(&quot;$&quot;* #,##0.00_);_(&quot;$&quot;* \(#,##0.00\);_(&quot;$&quot;* &quot;-&quot;??_);_(@_)"/>
    <numFmt numFmtId="191" formatCode="[$-10419]#,##0.0;\-#,##0.0"/>
    <numFmt numFmtId="192" formatCode="#,##0.0_ ;\-#,##0.0\ "/>
    <numFmt numFmtId="193" formatCode="#,##0.0"/>
    <numFmt numFmtId="194" formatCode="[$-10419]#,##0.00;\-#,##0.00"/>
    <numFmt numFmtId="195" formatCode="[$-10419]#,##0.000;\-#,##0.000"/>
    <numFmt numFmtId="196" formatCode="#,##0.00_ ;\-#,##0.00\ "/>
    <numFmt numFmtId="197" formatCode="#,##0.000_ ;\-#,##0.000\ "/>
    <numFmt numFmtId="198" formatCode="#,##0.0000_ ;\-#,##0.0000\ "/>
    <numFmt numFmtId="199" formatCode="#,##0.00000_ ;\-#,##0.00000\ "/>
    <numFmt numFmtId="200" formatCode="#,##0.000000_ ;\-#,##0.000000\ "/>
    <numFmt numFmtId="201" formatCode="#,##0.0000000_ ;\-#,##0.0000000\ "/>
    <numFmt numFmtId="202" formatCode="#,##0.00000000_ ;\-#,##0.00000000\ "/>
    <numFmt numFmtId="203" formatCode="[$-FC19]d\ mmmm\ yyyy\ &quot;г.&quot;"/>
    <numFmt numFmtId="204" formatCode="0.0"/>
    <numFmt numFmtId="205" formatCode="[$-10419]#,##0;\-#,##0"/>
    <numFmt numFmtId="206" formatCode="[$-10419]#,##0.0000;\-#,##0.0000"/>
    <numFmt numFmtId="207" formatCode="#,##0.000000000_ ;\-#,##0.000000000\ "/>
    <numFmt numFmtId="208" formatCode="#,##0.0000000000_ ;\-#,##0.0000000000\ "/>
    <numFmt numFmtId="209" formatCode="#,##0.00000000000_ ;\-#,##0.00000000000\ "/>
    <numFmt numFmtId="210" formatCode="#,##0.000000000000_ ;\-#,##0.000000000000\ "/>
    <numFmt numFmtId="211" formatCode="#,##0.0000000000000_ ;\-#,##0.0000000000000\ "/>
    <numFmt numFmtId="212" formatCode="#,##0.000"/>
  </numFmts>
  <fonts count="53">
    <font>
      <sz val="10"/>
      <name val="Arial"/>
      <family val="0"/>
    </font>
    <font>
      <sz val="14"/>
      <name val="Times New Roman"/>
      <family val="1"/>
    </font>
    <font>
      <sz val="9"/>
      <name val="Times New Roman CYR"/>
      <family val="1"/>
    </font>
    <font>
      <sz val="9"/>
      <name val="Times New Roman"/>
      <family val="1"/>
    </font>
    <font>
      <b/>
      <sz val="9"/>
      <name val="Times New Roman"/>
      <family val="1"/>
    </font>
    <font>
      <b/>
      <i/>
      <sz val="9"/>
      <name val="Times New Roman"/>
      <family val="1"/>
    </font>
    <font>
      <b/>
      <sz val="9"/>
      <name val="Times New Roman CYR"/>
      <family val="1"/>
    </font>
    <font>
      <sz val="9"/>
      <name val="Arial Cyr"/>
      <family val="0"/>
    </font>
    <font>
      <sz val="12"/>
      <name val="Times New Roman"/>
      <family val="1"/>
    </font>
    <font>
      <sz val="10"/>
      <name val="Times New Roman"/>
      <family val="1"/>
    </font>
    <font>
      <sz val="6"/>
      <name val="Arial"/>
      <family val="2"/>
    </font>
    <font>
      <sz val="8"/>
      <name val="Arial"/>
      <family val="2"/>
    </font>
    <font>
      <sz val="8"/>
      <name val="Times New Roman"/>
      <family val="1"/>
    </font>
    <font>
      <b/>
      <sz val="14"/>
      <name val="Times New Roman"/>
      <family val="1"/>
    </font>
    <font>
      <i/>
      <sz val="9"/>
      <name val="Times New Roman"/>
      <family val="1"/>
    </font>
    <font>
      <sz val="9"/>
      <color indexed="8"/>
      <name val="Times New Roman"/>
      <family val="1"/>
    </font>
    <font>
      <b/>
      <i/>
      <sz val="9"/>
      <name val="Times New Roman CYR"/>
      <family val="1"/>
    </font>
    <font>
      <sz val="11"/>
      <color indexed="8"/>
      <name val="Calibri"/>
      <family val="2"/>
    </font>
    <font>
      <sz val="11"/>
      <color indexed="22"/>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color indexed="8"/>
      </left>
      <right style="thin">
        <color indexed="8"/>
      </right>
      <top>
        <color indexed="63"/>
      </top>
      <bottom style="thin">
        <color indexed="8"/>
      </bottom>
    </border>
    <border>
      <left style="thin"/>
      <right style="thin">
        <color indexed="8"/>
      </right>
      <top>
        <color indexed="63"/>
      </top>
      <bottom>
        <color indexed="63"/>
      </bottom>
    </border>
    <border>
      <left style="thin"/>
      <right>
        <color indexed="63"/>
      </right>
      <top>
        <color indexed="63"/>
      </top>
      <bottom>
        <color indexed="63"/>
      </bottom>
    </border>
    <border>
      <left style="thin">
        <color indexed="8"/>
      </left>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color indexed="63"/>
      </left>
      <right>
        <color indexed="63"/>
      </right>
      <top style="thin">
        <color indexed="8"/>
      </top>
      <bottom>
        <color indexed="63"/>
      </bottom>
    </border>
    <border>
      <left style="thin"/>
      <right style="thin"/>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color indexed="63"/>
      </top>
      <bottom style="thin">
        <color indexed="8"/>
      </bottom>
    </border>
    <border>
      <left style="thin"/>
      <right style="thin">
        <color indexed="8"/>
      </right>
      <top>
        <color indexed="63"/>
      </top>
      <bottom style="thin">
        <color indexed="8"/>
      </bottom>
    </border>
    <border>
      <left style="thin">
        <color indexed="8"/>
      </left>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border>
    <border>
      <left style="thin"/>
      <right style="thin">
        <color indexed="8"/>
      </right>
      <top style="thin">
        <color indexed="8"/>
      </top>
      <bottom style="thin"/>
    </border>
    <border>
      <left>
        <color indexed="63"/>
      </left>
      <right style="thin"/>
      <top style="thin"/>
      <bottom style="thin"/>
    </border>
    <border>
      <left style="thin"/>
      <right>
        <color indexed="63"/>
      </right>
      <top style="thin">
        <color indexed="8"/>
      </top>
      <bottom>
        <color indexed="63"/>
      </bottom>
    </border>
    <border>
      <left style="thin"/>
      <right>
        <color indexed="63"/>
      </right>
      <top style="thin"/>
      <bottom style="thin"/>
    </border>
    <border>
      <left style="thin">
        <color indexed="8"/>
      </left>
      <right>
        <color indexed="63"/>
      </right>
      <top>
        <color indexed="63"/>
      </top>
      <bottom style="thin">
        <color indexed="8"/>
      </bottom>
    </border>
    <border>
      <left style="thin"/>
      <right>
        <color indexed="63"/>
      </right>
      <top style="thin"/>
      <bottom>
        <color indexed="63"/>
      </bottom>
    </border>
    <border>
      <left style="thin"/>
      <right>
        <color indexed="63"/>
      </right>
      <top>
        <color indexed="63"/>
      </top>
      <bottom style="thin">
        <color indexed="8"/>
      </bottom>
    </border>
    <border>
      <left style="thin">
        <color indexed="8"/>
      </left>
      <right>
        <color indexed="63"/>
      </right>
      <top style="thin">
        <color indexed="8"/>
      </top>
      <bottom style="thin"/>
    </border>
    <border>
      <left style="thin"/>
      <right style="thin"/>
      <top style="thin">
        <color indexed="8"/>
      </top>
      <bottom style="thin">
        <color indexed="8"/>
      </bottom>
    </border>
    <border>
      <left style="thin"/>
      <right style="thin"/>
      <top style="thin">
        <color indexed="8"/>
      </top>
      <bottom style="thin"/>
    </border>
    <border>
      <left style="thin">
        <color indexed="8"/>
      </left>
      <right style="thin"/>
      <top>
        <color indexed="63"/>
      </top>
      <bottom style="thin">
        <color indexed="8"/>
      </bottom>
    </border>
    <border>
      <left style="thin"/>
      <right style="thin">
        <color indexed="8"/>
      </right>
      <top style="thin"/>
      <bottom style="thin"/>
    </border>
    <border>
      <left>
        <color indexed="63"/>
      </left>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style="thin"/>
      <top style="thin">
        <color indexed="8"/>
      </top>
      <bottom style="thin">
        <color indexed="8"/>
      </bottom>
    </border>
    <border>
      <left>
        <color indexed="63"/>
      </left>
      <right style="thin"/>
      <top>
        <color indexed="63"/>
      </top>
      <bottom>
        <color indexed="63"/>
      </bottom>
    </border>
    <border>
      <left style="thin"/>
      <right style="thin">
        <color indexed="8"/>
      </right>
      <top style="thin"/>
      <bottom>
        <color indexed="63"/>
      </bottom>
    </border>
    <border>
      <left style="thin">
        <color indexed="8"/>
      </left>
      <right>
        <color indexed="63"/>
      </right>
      <top style="thin"/>
      <bottom>
        <color indexed="63"/>
      </bottom>
    </border>
    <border>
      <left style="thin"/>
      <right style="thin"/>
      <top style="thin"/>
      <bottom style="thin">
        <color indexed="8"/>
      </bottom>
    </border>
    <border>
      <left style="thin"/>
      <right>
        <color indexed="63"/>
      </right>
      <top style="thin"/>
      <bottom style="thin">
        <color indexed="8"/>
      </bottom>
    </border>
    <border>
      <left>
        <color indexed="63"/>
      </left>
      <right style="thin">
        <color indexed="8"/>
      </right>
      <top style="thin">
        <color indexed="8"/>
      </top>
      <bottom style="thin">
        <color indexed="8"/>
      </bottom>
    </border>
    <border>
      <left style="thin">
        <color indexed="8"/>
      </left>
      <right style="thin"/>
      <top style="thin"/>
      <bottom>
        <color indexed="63"/>
      </bottom>
    </border>
    <border>
      <left style="thin">
        <color indexed="8"/>
      </left>
      <right style="thin"/>
      <top>
        <color indexed="63"/>
      </top>
      <bottom style="thin"/>
    </border>
    <border>
      <left style="thin"/>
      <right style="thin">
        <color indexed="8"/>
      </right>
      <top>
        <color indexed="63"/>
      </top>
      <bottom style="thin"/>
    </border>
    <border>
      <left style="thin">
        <color indexed="8"/>
      </left>
      <right style="thin"/>
      <top style="thin"/>
      <bottom style="thin">
        <color indexed="8"/>
      </bottom>
    </border>
    <border>
      <left style="thin"/>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style="thin">
        <color indexed="8"/>
      </top>
      <bottom style="thin">
        <color indexed="8"/>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90" fontId="0" fillId="0" borderId="0" applyFont="0" applyFill="0" applyBorder="0" applyAlignment="0" applyProtection="0"/>
    <xf numFmtId="18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51" fillId="32" borderId="0" applyNumberFormat="0" applyBorder="0" applyAlignment="0" applyProtection="0"/>
  </cellStyleXfs>
  <cellXfs count="631">
    <xf numFmtId="0" fontId="0" fillId="0" borderId="0" xfId="0" applyAlignment="1">
      <alignment/>
    </xf>
    <xf numFmtId="0" fontId="2" fillId="0" borderId="10" xfId="0" applyNumberFormat="1" applyFont="1" applyFill="1" applyBorder="1" applyAlignment="1" applyProtection="1">
      <alignment horizontal="center" vertical="center" wrapText="1" shrinkToFit="1"/>
      <protection locked="0"/>
    </xf>
    <xf numFmtId="0" fontId="3" fillId="0" borderId="10" xfId="0" applyNumberFormat="1" applyFont="1" applyFill="1" applyBorder="1" applyAlignment="1" applyProtection="1">
      <alignment horizontal="center" vertical="center" wrapText="1" shrinkToFit="1"/>
      <protection locked="0"/>
    </xf>
    <xf numFmtId="0" fontId="2" fillId="0" borderId="11" xfId="0" applyNumberFormat="1" applyFont="1" applyFill="1" applyBorder="1" applyAlignment="1" applyProtection="1">
      <alignment horizontal="center" vertical="center" wrapText="1" shrinkToFit="1"/>
      <protection locked="0"/>
    </xf>
    <xf numFmtId="0" fontId="6" fillId="0" borderId="12" xfId="0" applyNumberFormat="1" applyFont="1" applyFill="1" applyBorder="1" applyAlignment="1" applyProtection="1">
      <alignment horizontal="center" vertical="center" wrapText="1" shrinkToFit="1"/>
      <protection locked="0"/>
    </xf>
    <xf numFmtId="0" fontId="4" fillId="0" borderId="12" xfId="52" applyNumberFormat="1" applyFont="1" applyFill="1" applyBorder="1" applyAlignment="1">
      <alignment horizontal="center" vertical="center" wrapText="1"/>
      <protection/>
    </xf>
    <xf numFmtId="0" fontId="4" fillId="0" borderId="12" xfId="0" applyNumberFormat="1" applyFont="1" applyFill="1" applyBorder="1" applyAlignment="1" applyProtection="1">
      <alignment horizontal="center" vertical="center" wrapText="1" shrinkToFit="1"/>
      <protection locked="0"/>
    </xf>
    <xf numFmtId="0" fontId="5" fillId="0" borderId="12" xfId="52" applyNumberFormat="1" applyFont="1" applyFill="1" applyBorder="1" applyAlignment="1">
      <alignment horizontal="center" vertical="center" wrapText="1"/>
      <protection/>
    </xf>
    <xf numFmtId="0" fontId="5" fillId="0" borderId="12" xfId="0" applyNumberFormat="1" applyFont="1" applyFill="1" applyBorder="1" applyAlignment="1" applyProtection="1">
      <alignment horizontal="center" vertical="center" wrapText="1" shrinkToFit="1"/>
      <protection locked="0"/>
    </xf>
    <xf numFmtId="0" fontId="2" fillId="0" borderId="13"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shrinkToFit="1"/>
      <protection locked="0"/>
    </xf>
    <xf numFmtId="14" fontId="3" fillId="0" borderId="11" xfId="0" applyNumberFormat="1" applyFont="1" applyFill="1" applyBorder="1" applyAlignment="1" applyProtection="1">
      <alignment horizontal="center" vertical="center" wrapText="1" shrinkToFit="1"/>
      <protection locked="0"/>
    </xf>
    <xf numFmtId="0" fontId="3" fillId="0" borderId="11" xfId="0" applyNumberFormat="1" applyFont="1" applyFill="1" applyBorder="1" applyAlignment="1" applyProtection="1">
      <alignment horizontal="center" vertical="top" wrapText="1" shrinkToFit="1"/>
      <protection locked="0"/>
    </xf>
    <xf numFmtId="14" fontId="3" fillId="0" borderId="11" xfId="0" applyNumberFormat="1" applyFont="1" applyFill="1" applyBorder="1" applyAlignment="1" applyProtection="1">
      <alignment horizontal="center" vertical="top" wrapText="1" shrinkToFit="1"/>
      <protection locked="0"/>
    </xf>
    <xf numFmtId="0" fontId="2" fillId="0" borderId="11" xfId="0" applyNumberFormat="1" applyFont="1" applyFill="1" applyBorder="1" applyAlignment="1" applyProtection="1">
      <alignment horizontal="center" vertical="top" wrapText="1" shrinkToFit="1"/>
      <protection locked="0"/>
    </xf>
    <xf numFmtId="0" fontId="2" fillId="0" borderId="11" xfId="0" applyNumberFormat="1" applyFont="1" applyFill="1" applyBorder="1" applyAlignment="1" applyProtection="1">
      <alignment horizontal="center" vertical="top" wrapText="1"/>
      <protection/>
    </xf>
    <xf numFmtId="14" fontId="3" fillId="0" borderId="10" xfId="0" applyNumberFormat="1" applyFont="1" applyFill="1" applyBorder="1" applyAlignment="1" applyProtection="1">
      <alignment horizontal="center" vertical="center" wrapText="1" shrinkToFit="1"/>
      <protection locked="0"/>
    </xf>
    <xf numFmtId="0" fontId="3" fillId="0" borderId="14" xfId="0" applyNumberFormat="1" applyFont="1" applyFill="1" applyBorder="1" applyAlignment="1" applyProtection="1">
      <alignment horizontal="center" vertical="center" wrapText="1" shrinkToFit="1"/>
      <protection locked="0"/>
    </xf>
    <xf numFmtId="0" fontId="2" fillId="0" borderId="15" xfId="0" applyNumberFormat="1" applyFont="1" applyFill="1" applyBorder="1" applyAlignment="1" applyProtection="1">
      <alignment horizontal="center" vertical="top" wrapText="1" shrinkToFit="1"/>
      <protection locked="0"/>
    </xf>
    <xf numFmtId="0" fontId="4" fillId="0" borderId="14" xfId="0" applyNumberFormat="1" applyFont="1" applyFill="1" applyBorder="1" applyAlignment="1" applyProtection="1">
      <alignment horizontal="center" vertical="center" wrapText="1" shrinkToFit="1"/>
      <protection locked="0"/>
    </xf>
    <xf numFmtId="14" fontId="4" fillId="0" borderId="14" xfId="0" applyNumberFormat="1" applyFont="1" applyFill="1" applyBorder="1" applyAlignment="1" applyProtection="1">
      <alignment horizontal="center" vertical="center" wrapText="1" shrinkToFit="1"/>
      <protection locked="0"/>
    </xf>
    <xf numFmtId="0" fontId="5" fillId="0" borderId="14" xfId="0" applyNumberFormat="1" applyFont="1" applyFill="1" applyBorder="1" applyAlignment="1" applyProtection="1">
      <alignment horizontal="center" vertical="center" wrapText="1" shrinkToFit="1"/>
      <protection locked="0"/>
    </xf>
    <xf numFmtId="0" fontId="3" fillId="0" borderId="15" xfId="0" applyNumberFormat="1" applyFont="1" applyFill="1" applyBorder="1" applyAlignment="1" applyProtection="1">
      <alignment horizontal="center" vertical="top" wrapText="1" shrinkToFit="1"/>
      <protection locked="0"/>
    </xf>
    <xf numFmtId="0" fontId="3" fillId="0" borderId="10" xfId="0" applyNumberFormat="1" applyFont="1" applyFill="1" applyBorder="1" applyAlignment="1" applyProtection="1">
      <alignment horizontal="center" vertical="top" wrapText="1" shrinkToFit="1"/>
      <protection locked="0"/>
    </xf>
    <xf numFmtId="0" fontId="2" fillId="0" borderId="16" xfId="0" applyNumberFormat="1" applyFont="1" applyFill="1" applyBorder="1" applyAlignment="1" applyProtection="1">
      <alignment horizontal="center" vertical="top" wrapText="1" shrinkToFit="1"/>
      <protection locked="0"/>
    </xf>
    <xf numFmtId="0" fontId="3" fillId="0" borderId="13" xfId="0" applyNumberFormat="1" applyFont="1" applyFill="1" applyBorder="1" applyAlignment="1" applyProtection="1">
      <alignment horizontal="center" vertical="top" wrapText="1" shrinkToFit="1"/>
      <protection locked="0"/>
    </xf>
    <xf numFmtId="14" fontId="3" fillId="0" borderId="10" xfId="0" applyNumberFormat="1" applyFont="1" applyFill="1" applyBorder="1" applyAlignment="1" applyProtection="1">
      <alignment horizontal="center" vertical="top" wrapText="1" shrinkToFit="1"/>
      <protection locked="0"/>
    </xf>
    <xf numFmtId="0" fontId="2" fillId="0" borderId="10" xfId="0" applyNumberFormat="1" applyFont="1" applyFill="1" applyBorder="1" applyAlignment="1" applyProtection="1">
      <alignment horizontal="center" vertical="top" wrapText="1" shrinkToFit="1"/>
      <protection locked="0"/>
    </xf>
    <xf numFmtId="14" fontId="2" fillId="0" borderId="10" xfId="0" applyNumberFormat="1" applyFont="1" applyFill="1" applyBorder="1" applyAlignment="1" applyProtection="1">
      <alignment horizontal="center" vertical="top" wrapText="1" shrinkToFit="1"/>
      <protection locked="0"/>
    </xf>
    <xf numFmtId="0" fontId="6" fillId="0" borderId="14" xfId="0" applyNumberFormat="1" applyFont="1" applyFill="1" applyBorder="1" applyAlignment="1" applyProtection="1">
      <alignment horizontal="center" vertical="center" wrapText="1" shrinkToFit="1"/>
      <protection locked="0"/>
    </xf>
    <xf numFmtId="0" fontId="2" fillId="0" borderId="17" xfId="0" applyNumberFormat="1" applyFont="1" applyFill="1" applyBorder="1" applyAlignment="1" applyProtection="1">
      <alignment horizontal="center" vertical="top" wrapText="1" shrinkToFit="1"/>
      <protection locked="0"/>
    </xf>
    <xf numFmtId="0" fontId="2" fillId="0" borderId="18" xfId="0" applyNumberFormat="1" applyFont="1" applyFill="1" applyBorder="1" applyAlignment="1" applyProtection="1">
      <alignment horizontal="center" vertical="top" wrapText="1" shrinkToFit="1"/>
      <protection locked="0"/>
    </xf>
    <xf numFmtId="0" fontId="6" fillId="0" borderId="19" xfId="0" applyNumberFormat="1" applyFont="1" applyFill="1" applyBorder="1" applyAlignment="1" applyProtection="1">
      <alignment vertical="center" wrapText="1" shrinkToFit="1"/>
      <protection locked="0"/>
    </xf>
    <xf numFmtId="0" fontId="6" fillId="0" borderId="10" xfId="0" applyNumberFormat="1" applyFont="1" applyFill="1" applyBorder="1" applyAlignment="1" applyProtection="1">
      <alignment vertical="center" wrapText="1" shrinkToFit="1"/>
      <protection locked="0"/>
    </xf>
    <xf numFmtId="0" fontId="6" fillId="0" borderId="17" xfId="0" applyNumberFormat="1" applyFont="1" applyFill="1" applyBorder="1" applyAlignment="1" applyProtection="1">
      <alignment vertical="center" wrapText="1" shrinkToFit="1"/>
      <protection locked="0"/>
    </xf>
    <xf numFmtId="191" fontId="3" fillId="0" borderId="20" xfId="0" applyNumberFormat="1" applyFont="1" applyFill="1" applyBorder="1" applyAlignment="1" applyProtection="1">
      <alignment vertical="top" wrapText="1" readingOrder="1"/>
      <protection locked="0"/>
    </xf>
    <xf numFmtId="0" fontId="2" fillId="0" borderId="13" xfId="0" applyNumberFormat="1" applyFont="1" applyFill="1" applyBorder="1" applyAlignment="1" applyProtection="1">
      <alignment horizontal="center" vertical="top" wrapText="1"/>
      <protection/>
    </xf>
    <xf numFmtId="0" fontId="2" fillId="0" borderId="20"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top" wrapText="1"/>
      <protection/>
    </xf>
    <xf numFmtId="0" fontId="7" fillId="0" borderId="10" xfId="0" applyFont="1" applyFill="1" applyBorder="1" applyAlignment="1">
      <alignment horizontal="center" vertical="top"/>
    </xf>
    <xf numFmtId="0" fontId="2" fillId="0" borderId="14" xfId="0" applyNumberFormat="1" applyFont="1" applyFill="1" applyBorder="1" applyAlignment="1" applyProtection="1">
      <alignment horizontal="center" vertical="top" wrapText="1" shrinkToFit="1"/>
      <protection locked="0"/>
    </xf>
    <xf numFmtId="0" fontId="2" fillId="0" borderId="19" xfId="0" applyNumberFormat="1" applyFont="1" applyFill="1" applyBorder="1" applyAlignment="1" applyProtection="1">
      <alignment horizontal="center" vertical="top" wrapText="1" shrinkToFit="1"/>
      <protection locked="0"/>
    </xf>
    <xf numFmtId="0" fontId="2" fillId="0" borderId="20" xfId="0" applyNumberFormat="1" applyFont="1" applyFill="1" applyBorder="1" applyAlignment="1" applyProtection="1">
      <alignment horizontal="center" vertical="top" wrapText="1" shrinkToFit="1"/>
      <protection locked="0"/>
    </xf>
    <xf numFmtId="0" fontId="2" fillId="0" borderId="12" xfId="0" applyNumberFormat="1" applyFont="1" applyFill="1" applyBorder="1" applyAlignment="1" applyProtection="1">
      <alignment horizontal="center" vertical="center" wrapText="1" shrinkToFit="1"/>
      <protection locked="0"/>
    </xf>
    <xf numFmtId="0" fontId="2" fillId="0" borderId="11" xfId="0" applyNumberFormat="1" applyFont="1" applyFill="1" applyBorder="1" applyAlignment="1" applyProtection="1">
      <alignment horizontal="center" vertical="top" wrapText="1" shrinkToFit="1" readingOrder="1"/>
      <protection locked="0"/>
    </xf>
    <xf numFmtId="0" fontId="2" fillId="0" borderId="11" xfId="0" applyNumberFormat="1" applyFont="1" applyFill="1" applyBorder="1" applyAlignment="1" applyProtection="1">
      <alignment horizontal="center" vertical="top" wrapText="1" shrinkToFit="1" readingOrder="1"/>
      <protection locked="0"/>
    </xf>
    <xf numFmtId="14" fontId="2" fillId="0" borderId="11" xfId="0" applyNumberFormat="1" applyFont="1" applyFill="1" applyBorder="1" applyAlignment="1" applyProtection="1">
      <alignment horizontal="center" vertical="top" wrapText="1" shrinkToFit="1" readingOrder="1"/>
      <protection locked="0"/>
    </xf>
    <xf numFmtId="0" fontId="4" fillId="0" borderId="15" xfId="0" applyNumberFormat="1" applyFont="1" applyFill="1" applyBorder="1" applyAlignment="1" applyProtection="1">
      <alignment horizontal="center" vertical="center" wrapText="1" shrinkToFit="1"/>
      <protection locked="0"/>
    </xf>
    <xf numFmtId="14" fontId="4" fillId="0" borderId="15" xfId="0" applyNumberFormat="1" applyFont="1" applyFill="1" applyBorder="1" applyAlignment="1" applyProtection="1">
      <alignment horizontal="center" vertical="center" wrapText="1" shrinkToFit="1"/>
      <protection locked="0"/>
    </xf>
    <xf numFmtId="0" fontId="1" fillId="0" borderId="0" xfId="0" applyFont="1" applyFill="1" applyAlignment="1">
      <alignment/>
    </xf>
    <xf numFmtId="14" fontId="2" fillId="0" borderId="20" xfId="0" applyNumberFormat="1" applyFont="1" applyFill="1" applyBorder="1" applyAlignment="1" applyProtection="1">
      <alignment horizontal="center" vertical="top" wrapText="1" shrinkToFit="1"/>
      <protection locked="0"/>
    </xf>
    <xf numFmtId="14" fontId="2" fillId="0" borderId="16" xfId="0" applyNumberFormat="1" applyFont="1" applyFill="1" applyBorder="1" applyAlignment="1" applyProtection="1">
      <alignment horizontal="center" vertical="top" wrapText="1" shrinkToFit="1"/>
      <protection locked="0"/>
    </xf>
    <xf numFmtId="0" fontId="1" fillId="0" borderId="0" xfId="0" applyFont="1" applyFill="1" applyAlignment="1">
      <alignment horizontal="left"/>
    </xf>
    <xf numFmtId="0" fontId="8" fillId="0" borderId="0" xfId="0" applyFont="1" applyFill="1" applyAlignment="1">
      <alignment/>
    </xf>
    <xf numFmtId="0" fontId="1" fillId="0" borderId="22" xfId="0" applyFont="1" applyFill="1" applyBorder="1" applyAlignment="1">
      <alignment horizontal="left"/>
    </xf>
    <xf numFmtId="0" fontId="8" fillId="0" borderId="0" xfId="0" applyFont="1" applyFill="1" applyAlignment="1">
      <alignment horizontal="left"/>
    </xf>
    <xf numFmtId="0" fontId="6" fillId="0" borderId="1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shrinkToFit="1"/>
      <protection locked="0"/>
    </xf>
    <xf numFmtId="0" fontId="3" fillId="0" borderId="19" xfId="52" applyNumberFormat="1" applyFont="1" applyFill="1" applyBorder="1" applyAlignment="1">
      <alignment horizontal="center" vertical="center" wrapText="1"/>
      <protection/>
    </xf>
    <xf numFmtId="0" fontId="2" fillId="0" borderId="20" xfId="0" applyNumberFormat="1" applyFont="1" applyFill="1" applyBorder="1" applyAlignment="1" applyProtection="1">
      <alignment horizontal="center" vertical="top" wrapText="1" shrinkToFit="1" readingOrder="1"/>
      <protection locked="0"/>
    </xf>
    <xf numFmtId="4" fontId="9" fillId="0" borderId="14" xfId="0" applyNumberFormat="1" applyFont="1" applyFill="1" applyBorder="1" applyAlignment="1">
      <alignment/>
    </xf>
    <xf numFmtId="0" fontId="0" fillId="0" borderId="0" xfId="0" applyFill="1" applyAlignment="1">
      <alignment/>
    </xf>
    <xf numFmtId="0" fontId="3" fillId="0" borderId="10" xfId="0" applyFont="1" applyFill="1" applyBorder="1" applyAlignment="1" applyProtection="1">
      <alignment horizontal="center" vertical="top" wrapText="1" readingOrder="1"/>
      <protection locked="0"/>
    </xf>
    <xf numFmtId="0" fontId="3" fillId="0" borderId="12" xfId="0" applyFont="1" applyFill="1" applyBorder="1" applyAlignment="1" applyProtection="1">
      <alignment horizontal="center" vertical="top" wrapText="1" readingOrder="1"/>
      <protection locked="0"/>
    </xf>
    <xf numFmtId="0" fontId="3" fillId="0" borderId="16" xfId="0" applyFont="1" applyFill="1" applyBorder="1" applyAlignment="1" applyProtection="1">
      <alignment horizontal="center" vertical="top" wrapText="1" readingOrder="1"/>
      <protection locked="0"/>
    </xf>
    <xf numFmtId="0" fontId="4" fillId="0" borderId="20" xfId="0" applyFont="1" applyFill="1" applyBorder="1" applyAlignment="1" applyProtection="1">
      <alignment vertical="top" wrapText="1" readingOrder="1"/>
      <protection locked="0"/>
    </xf>
    <xf numFmtId="0" fontId="4" fillId="0" borderId="20" xfId="0" applyFont="1" applyFill="1" applyBorder="1" applyAlignment="1" applyProtection="1">
      <alignment horizontal="center" vertical="top" wrapText="1" readingOrder="1"/>
      <protection locked="0"/>
    </xf>
    <xf numFmtId="191" fontId="4" fillId="0" borderId="20" xfId="0" applyNumberFormat="1" applyFont="1" applyFill="1" applyBorder="1" applyAlignment="1" applyProtection="1">
      <alignment vertical="top" wrapText="1" readingOrder="1"/>
      <protection locked="0"/>
    </xf>
    <xf numFmtId="0" fontId="4" fillId="0" borderId="12" xfId="0" applyFont="1" applyFill="1" applyBorder="1" applyAlignment="1" applyProtection="1">
      <alignment vertical="top" wrapText="1" readingOrder="1"/>
      <protection locked="0"/>
    </xf>
    <xf numFmtId="0" fontId="4" fillId="0" borderId="12" xfId="0" applyFont="1" applyFill="1" applyBorder="1" applyAlignment="1" applyProtection="1">
      <alignment horizontal="center" vertical="top" wrapText="1" readingOrder="1"/>
      <protection locked="0"/>
    </xf>
    <xf numFmtId="0" fontId="5" fillId="0" borderId="12" xfId="0" applyFont="1" applyFill="1" applyBorder="1" applyAlignment="1" applyProtection="1">
      <alignment vertical="top" wrapText="1" readingOrder="1"/>
      <protection locked="0"/>
    </xf>
    <xf numFmtId="0" fontId="5" fillId="0" borderId="12" xfId="0" applyFont="1" applyFill="1" applyBorder="1" applyAlignment="1" applyProtection="1">
      <alignment horizontal="center" vertical="top" wrapText="1" readingOrder="1"/>
      <protection locked="0"/>
    </xf>
    <xf numFmtId="191" fontId="5" fillId="0" borderId="12" xfId="0" applyNumberFormat="1" applyFont="1" applyFill="1" applyBorder="1" applyAlignment="1" applyProtection="1">
      <alignment vertical="top" wrapText="1" readingOrder="1"/>
      <protection locked="0"/>
    </xf>
    <xf numFmtId="0" fontId="5" fillId="0" borderId="20" xfId="0" applyFont="1" applyFill="1" applyBorder="1" applyAlignment="1" applyProtection="1">
      <alignment horizontal="center" vertical="top" wrapText="1" readingOrder="1"/>
      <protection locked="0"/>
    </xf>
    <xf numFmtId="0" fontId="3" fillId="0" borderId="11" xfId="0" applyFont="1" applyFill="1" applyBorder="1" applyAlignment="1" applyProtection="1">
      <alignment vertical="top" wrapText="1" readingOrder="1"/>
      <protection locked="0"/>
    </xf>
    <xf numFmtId="0" fontId="3" fillId="0" borderId="23" xfId="0" applyFont="1" applyFill="1" applyBorder="1" applyAlignment="1" applyProtection="1">
      <alignment horizontal="center" vertical="top" wrapText="1" readingOrder="1"/>
      <protection locked="0"/>
    </xf>
    <xf numFmtId="191" fontId="3" fillId="0" borderId="10" xfId="0" applyNumberFormat="1" applyFont="1" applyFill="1" applyBorder="1" applyAlignment="1" applyProtection="1">
      <alignment vertical="top" wrapText="1" readingOrder="1"/>
      <protection locked="0"/>
    </xf>
    <xf numFmtId="0" fontId="3" fillId="0" borderId="16" xfId="0" applyFont="1" applyFill="1" applyBorder="1" applyAlignment="1" applyProtection="1">
      <alignment vertical="top" wrapText="1" readingOrder="1"/>
      <protection locked="0"/>
    </xf>
    <xf numFmtId="0" fontId="3" fillId="0" borderId="24" xfId="0" applyFont="1" applyFill="1" applyBorder="1" applyAlignment="1" applyProtection="1">
      <alignment horizontal="center" vertical="top" wrapText="1" readingOrder="1"/>
      <protection locked="0"/>
    </xf>
    <xf numFmtId="0" fontId="3" fillId="0" borderId="20" xfId="0" applyFont="1" applyFill="1" applyBorder="1" applyAlignment="1" applyProtection="1">
      <alignment horizontal="center" vertical="top" wrapText="1" readingOrder="1"/>
      <protection locked="0"/>
    </xf>
    <xf numFmtId="0" fontId="4" fillId="0" borderId="25" xfId="0" applyFont="1" applyFill="1" applyBorder="1" applyAlignment="1" applyProtection="1">
      <alignment vertical="top" wrapText="1" readingOrder="1"/>
      <protection locked="0"/>
    </xf>
    <xf numFmtId="0" fontId="4" fillId="0" borderId="14"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top" wrapText="1" readingOrder="1"/>
      <protection locked="0"/>
    </xf>
    <xf numFmtId="0" fontId="3" fillId="0" borderId="20" xfId="0" applyFont="1" applyFill="1" applyBorder="1" applyAlignment="1" applyProtection="1">
      <alignment vertical="top" wrapText="1" readingOrder="1"/>
      <protection locked="0"/>
    </xf>
    <xf numFmtId="0" fontId="3" fillId="0" borderId="11" xfId="0" applyFont="1" applyFill="1" applyBorder="1" applyAlignment="1" applyProtection="1">
      <alignment horizontal="center" vertical="top" wrapText="1" readingOrder="1"/>
      <protection locked="0"/>
    </xf>
    <xf numFmtId="191" fontId="3" fillId="0" borderId="11" xfId="0" applyNumberFormat="1" applyFont="1" applyFill="1" applyBorder="1" applyAlignment="1" applyProtection="1">
      <alignment vertical="top" wrapText="1" readingOrder="1"/>
      <protection locked="0"/>
    </xf>
    <xf numFmtId="0" fontId="3" fillId="0" borderId="10" xfId="0" applyFont="1" applyFill="1" applyBorder="1" applyAlignment="1" applyProtection="1">
      <alignment vertical="top" wrapText="1" readingOrder="1"/>
      <protection locked="0"/>
    </xf>
    <xf numFmtId="49" fontId="3" fillId="0" borderId="10" xfId="0" applyNumberFormat="1" applyFont="1" applyFill="1" applyBorder="1" applyAlignment="1" applyProtection="1">
      <alignment horizontal="center" vertical="top" wrapText="1" readingOrder="1"/>
      <protection locked="0"/>
    </xf>
    <xf numFmtId="0" fontId="3" fillId="0" borderId="13" xfId="0" applyFont="1" applyFill="1" applyBorder="1" applyAlignment="1" applyProtection="1">
      <alignment horizontal="center" vertical="top" wrapText="1" readingOrder="1"/>
      <protection locked="0"/>
    </xf>
    <xf numFmtId="0" fontId="4" fillId="0" borderId="11" xfId="0" applyFont="1" applyFill="1" applyBorder="1" applyAlignment="1" applyProtection="1">
      <alignment vertical="top" wrapText="1" readingOrder="1"/>
      <protection locked="0"/>
    </xf>
    <xf numFmtId="0" fontId="4" fillId="0" borderId="11" xfId="0" applyFont="1" applyFill="1" applyBorder="1" applyAlignment="1" applyProtection="1">
      <alignment horizontal="center" vertical="top" wrapText="1" readingOrder="1"/>
      <protection locked="0"/>
    </xf>
    <xf numFmtId="191" fontId="4" fillId="0" borderId="11" xfId="0" applyNumberFormat="1" applyFont="1" applyFill="1" applyBorder="1" applyAlignment="1" applyProtection="1">
      <alignment vertical="top" wrapText="1" readingOrder="1"/>
      <protection locked="0"/>
    </xf>
    <xf numFmtId="0" fontId="3" fillId="0" borderId="11" xfId="0" applyFont="1" applyFill="1" applyBorder="1" applyAlignment="1" applyProtection="1">
      <alignment horizontal="left" vertical="top" wrapText="1" readingOrder="1"/>
      <protection locked="0"/>
    </xf>
    <xf numFmtId="0" fontId="3" fillId="0" borderId="26" xfId="0" applyFont="1" applyFill="1" applyBorder="1" applyAlignment="1" applyProtection="1">
      <alignment horizontal="center" vertical="top" wrapText="1" readingOrder="1"/>
      <protection locked="0"/>
    </xf>
    <xf numFmtId="49" fontId="3" fillId="0" borderId="11" xfId="0" applyNumberFormat="1" applyFont="1" applyFill="1" applyBorder="1" applyAlignment="1" applyProtection="1">
      <alignment horizontal="center" vertical="top" wrapText="1" readingOrder="1"/>
      <protection locked="0"/>
    </xf>
    <xf numFmtId="191" fontId="3" fillId="0" borderId="16" xfId="0" applyNumberFormat="1" applyFont="1" applyFill="1" applyBorder="1" applyAlignment="1" applyProtection="1">
      <alignment vertical="top" wrapText="1" readingOrder="1"/>
      <protection locked="0"/>
    </xf>
    <xf numFmtId="0" fontId="4" fillId="0" borderId="13" xfId="0" applyFont="1" applyFill="1" applyBorder="1" applyAlignment="1" applyProtection="1">
      <alignment horizontal="center" vertical="top" wrapText="1" readingOrder="1"/>
      <protection locked="0"/>
    </xf>
    <xf numFmtId="0" fontId="4" fillId="0" borderId="26" xfId="0" applyFont="1" applyFill="1" applyBorder="1" applyAlignment="1" applyProtection="1">
      <alignment horizontal="center" vertical="top" wrapText="1" readingOrder="1"/>
      <protection locked="0"/>
    </xf>
    <xf numFmtId="14" fontId="3" fillId="0" borderId="11" xfId="0" applyNumberFormat="1" applyFont="1" applyFill="1" applyBorder="1" applyAlignment="1" applyProtection="1">
      <alignment vertical="top" wrapText="1" readingOrder="1"/>
      <protection locked="0"/>
    </xf>
    <xf numFmtId="191" fontId="5" fillId="0" borderId="20" xfId="0" applyNumberFormat="1" applyFont="1" applyFill="1" applyBorder="1" applyAlignment="1" applyProtection="1">
      <alignment vertical="top" wrapText="1" readingOrder="1"/>
      <protection locked="0"/>
    </xf>
    <xf numFmtId="191" fontId="3" fillId="0" borderId="23" xfId="0" applyNumberFormat="1" applyFont="1" applyFill="1" applyBorder="1" applyAlignment="1" applyProtection="1">
      <alignment vertical="top" wrapText="1" readingOrder="1"/>
      <protection locked="0"/>
    </xf>
    <xf numFmtId="0" fontId="3" fillId="0" borderId="27" xfId="0" applyFont="1" applyFill="1" applyBorder="1" applyAlignment="1" applyProtection="1">
      <alignment horizontal="center" vertical="top" wrapText="1" readingOrder="1"/>
      <protection locked="0"/>
    </xf>
    <xf numFmtId="191" fontId="3" fillId="0" borderId="27" xfId="0" applyNumberFormat="1" applyFont="1" applyFill="1" applyBorder="1" applyAlignment="1" applyProtection="1">
      <alignment vertical="top" wrapText="1" readingOrder="1"/>
      <protection locked="0"/>
    </xf>
    <xf numFmtId="0" fontId="4" fillId="0" borderId="20" xfId="0" applyFont="1" applyFill="1" applyBorder="1" applyAlignment="1" applyProtection="1">
      <alignment horizontal="left" vertical="top" wrapText="1" readingOrder="1"/>
      <protection locked="0"/>
    </xf>
    <xf numFmtId="0" fontId="4" fillId="0" borderId="23" xfId="0" applyFont="1" applyFill="1" applyBorder="1" applyAlignment="1" applyProtection="1">
      <alignment horizontal="center" vertical="top" wrapText="1" readingOrder="1"/>
      <protection locked="0"/>
    </xf>
    <xf numFmtId="0" fontId="4" fillId="0" borderId="16" xfId="0" applyFont="1" applyFill="1" applyBorder="1" applyAlignment="1" applyProtection="1">
      <alignment horizontal="center" vertical="top" wrapText="1" readingOrder="1"/>
      <protection locked="0"/>
    </xf>
    <xf numFmtId="0" fontId="4" fillId="0" borderId="27" xfId="0" applyFont="1" applyFill="1" applyBorder="1" applyAlignment="1" applyProtection="1">
      <alignment horizontal="center" vertical="top" wrapText="1" readingOrder="1"/>
      <protection locked="0"/>
    </xf>
    <xf numFmtId="191" fontId="4" fillId="0" borderId="27" xfId="0" applyNumberFormat="1" applyFont="1" applyFill="1" applyBorder="1" applyAlignment="1" applyProtection="1">
      <alignment vertical="top" wrapText="1" readingOrder="1"/>
      <protection locked="0"/>
    </xf>
    <xf numFmtId="0" fontId="4" fillId="0" borderId="27" xfId="0" applyFont="1" applyFill="1" applyBorder="1" applyAlignment="1" applyProtection="1">
      <alignment vertical="top" wrapText="1" readingOrder="1"/>
      <protection locked="0"/>
    </xf>
    <xf numFmtId="0" fontId="4" fillId="0" borderId="14" xfId="0" applyFont="1" applyFill="1" applyBorder="1" applyAlignment="1" applyProtection="1">
      <alignment vertical="top" wrapText="1" readingOrder="1"/>
      <protection locked="0"/>
    </xf>
    <xf numFmtId="49" fontId="4" fillId="0" borderId="20" xfId="0" applyNumberFormat="1" applyFont="1" applyFill="1" applyBorder="1" applyAlignment="1" applyProtection="1">
      <alignment horizontal="center" vertical="top" wrapText="1" readingOrder="1"/>
      <protection locked="0"/>
    </xf>
    <xf numFmtId="0" fontId="3" fillId="0" borderId="15" xfId="0" applyFont="1" applyFill="1" applyBorder="1" applyAlignment="1" applyProtection="1">
      <alignment horizontal="center" vertical="top" wrapText="1" readingOrder="1"/>
      <protection locked="0"/>
    </xf>
    <xf numFmtId="49" fontId="3" fillId="0" borderId="15" xfId="0" applyNumberFormat="1" applyFont="1" applyFill="1" applyBorder="1" applyAlignment="1" applyProtection="1">
      <alignment horizontal="center" vertical="top" wrapText="1" readingOrder="1"/>
      <protection locked="0"/>
    </xf>
    <xf numFmtId="191" fontId="3" fillId="0" borderId="13" xfId="0" applyNumberFormat="1" applyFont="1" applyFill="1" applyBorder="1" applyAlignment="1" applyProtection="1">
      <alignment vertical="top" wrapText="1" readingOrder="1"/>
      <protection locked="0"/>
    </xf>
    <xf numFmtId="49" fontId="3" fillId="0" borderId="17" xfId="0" applyNumberFormat="1" applyFont="1" applyFill="1" applyBorder="1" applyAlignment="1" applyProtection="1">
      <alignment horizontal="center" vertical="top" wrapText="1" readingOrder="1"/>
      <protection locked="0"/>
    </xf>
    <xf numFmtId="49" fontId="3" fillId="0" borderId="28" xfId="0" applyNumberFormat="1" applyFont="1" applyFill="1" applyBorder="1" applyAlignment="1" applyProtection="1">
      <alignment horizontal="center" vertical="top" wrapText="1" readingOrder="1"/>
      <protection locked="0"/>
    </xf>
    <xf numFmtId="49" fontId="3" fillId="0" borderId="16" xfId="0" applyNumberFormat="1" applyFont="1" applyFill="1" applyBorder="1" applyAlignment="1" applyProtection="1">
      <alignment horizontal="center" vertical="top" wrapText="1" readingOrder="1"/>
      <protection locked="0"/>
    </xf>
    <xf numFmtId="49" fontId="3" fillId="0" borderId="23" xfId="0" applyNumberFormat="1" applyFont="1" applyFill="1" applyBorder="1" applyAlignment="1" applyProtection="1">
      <alignment horizontal="center" vertical="top" wrapText="1" readingOrder="1"/>
      <protection locked="0"/>
    </xf>
    <xf numFmtId="49" fontId="3" fillId="0" borderId="13" xfId="0" applyNumberFormat="1" applyFont="1" applyFill="1" applyBorder="1" applyAlignment="1" applyProtection="1">
      <alignment horizontal="center" vertical="top" wrapText="1" readingOrder="1"/>
      <protection locked="0"/>
    </xf>
    <xf numFmtId="49" fontId="3" fillId="0" borderId="26" xfId="0" applyNumberFormat="1" applyFont="1" applyFill="1" applyBorder="1" applyAlignment="1" applyProtection="1">
      <alignment horizontal="center" vertical="top" wrapText="1" readingOrder="1"/>
      <protection locked="0"/>
    </xf>
    <xf numFmtId="49" fontId="3" fillId="0" borderId="24" xfId="0" applyNumberFormat="1" applyFont="1" applyFill="1" applyBorder="1" applyAlignment="1" applyProtection="1">
      <alignment horizontal="center" vertical="top" wrapText="1" readingOrder="1"/>
      <protection locked="0"/>
    </xf>
    <xf numFmtId="49" fontId="3" fillId="0" borderId="20" xfId="0" applyNumberFormat="1" applyFont="1" applyFill="1" applyBorder="1" applyAlignment="1" applyProtection="1">
      <alignment horizontal="center" vertical="top" wrapText="1" readingOrder="1"/>
      <protection locked="0"/>
    </xf>
    <xf numFmtId="191" fontId="4" fillId="0" borderId="10" xfId="0" applyNumberFormat="1" applyFont="1" applyFill="1" applyBorder="1" applyAlignment="1" applyProtection="1">
      <alignment vertical="top" wrapText="1" readingOrder="1"/>
      <protection locked="0"/>
    </xf>
    <xf numFmtId="0" fontId="4" fillId="0" borderId="10" xfId="0" applyFont="1" applyFill="1" applyBorder="1" applyAlignment="1" applyProtection="1">
      <alignment vertical="top" wrapText="1" readingOrder="1"/>
      <protection locked="0"/>
    </xf>
    <xf numFmtId="0" fontId="4" fillId="0" borderId="29" xfId="0" applyFont="1" applyFill="1" applyBorder="1" applyAlignment="1" applyProtection="1">
      <alignment vertical="top" wrapText="1" readingOrder="1"/>
      <protection locked="0"/>
    </xf>
    <xf numFmtId="0" fontId="4" fillId="0" borderId="24" xfId="0" applyFont="1" applyFill="1" applyBorder="1" applyAlignment="1" applyProtection="1">
      <alignment horizontal="center" vertical="top" wrapText="1" readingOrder="1"/>
      <protection locked="0"/>
    </xf>
    <xf numFmtId="0" fontId="3" fillId="0" borderId="11" xfId="0" applyFont="1" applyFill="1" applyBorder="1" applyAlignment="1" applyProtection="1">
      <alignment vertical="top" wrapText="1"/>
      <protection locked="0"/>
    </xf>
    <xf numFmtId="0" fontId="5" fillId="0" borderId="20" xfId="0" applyFont="1" applyFill="1" applyBorder="1" applyAlignment="1" applyProtection="1">
      <alignment vertical="top" wrapText="1" readingOrder="1"/>
      <protection locked="0"/>
    </xf>
    <xf numFmtId="49" fontId="5" fillId="0" borderId="20" xfId="0" applyNumberFormat="1" applyFont="1" applyFill="1" applyBorder="1" applyAlignment="1" applyProtection="1">
      <alignment horizontal="center" vertical="top" wrapText="1" readingOrder="1"/>
      <protection locked="0"/>
    </xf>
    <xf numFmtId="0" fontId="3" fillId="0" borderId="30" xfId="0" applyFont="1" applyFill="1" applyBorder="1" applyAlignment="1" applyProtection="1">
      <alignment horizontal="center" vertical="top" wrapText="1" readingOrder="1"/>
      <protection locked="0"/>
    </xf>
    <xf numFmtId="0" fontId="3" fillId="0" borderId="17" xfId="0" applyFont="1" applyFill="1" applyBorder="1" applyAlignment="1" applyProtection="1">
      <alignment horizontal="center" vertical="top" wrapText="1" readingOrder="1"/>
      <protection locked="0"/>
    </xf>
    <xf numFmtId="0" fontId="5" fillId="0" borderId="14" xfId="0" applyFont="1" applyFill="1" applyBorder="1" applyAlignment="1" applyProtection="1">
      <alignment vertical="top" wrapText="1" readingOrder="1"/>
      <protection locked="0"/>
    </xf>
    <xf numFmtId="193" fontId="5" fillId="0" borderId="14" xfId="0" applyNumberFormat="1" applyFont="1" applyFill="1" applyBorder="1" applyAlignment="1" applyProtection="1">
      <alignment vertical="top" wrapText="1" readingOrder="1"/>
      <protection locked="0"/>
    </xf>
    <xf numFmtId="49" fontId="5" fillId="0" borderId="14" xfId="0" applyNumberFormat="1" applyFont="1" applyFill="1" applyBorder="1" applyAlignment="1" applyProtection="1">
      <alignment horizontal="center" vertical="top" wrapText="1" readingOrder="1"/>
      <protection locked="0"/>
    </xf>
    <xf numFmtId="193" fontId="3" fillId="0" borderId="15" xfId="0" applyNumberFormat="1" applyFont="1" applyFill="1" applyBorder="1" applyAlignment="1" applyProtection="1">
      <alignment vertical="top" wrapText="1" readingOrder="1"/>
      <protection locked="0"/>
    </xf>
    <xf numFmtId="0" fontId="3" fillId="0" borderId="25" xfId="0" applyFont="1" applyFill="1" applyBorder="1" applyAlignment="1" applyProtection="1">
      <alignment horizontal="center" vertical="top" wrapText="1" readingOrder="1"/>
      <protection locked="0"/>
    </xf>
    <xf numFmtId="193" fontId="3" fillId="0" borderId="10" xfId="0" applyNumberFormat="1" applyFont="1" applyFill="1" applyBorder="1" applyAlignment="1" applyProtection="1">
      <alignment vertical="top" wrapText="1" readingOrder="1"/>
      <protection locked="0"/>
    </xf>
    <xf numFmtId="193" fontId="3" fillId="0" borderId="27" xfId="0" applyNumberFormat="1" applyFont="1" applyFill="1" applyBorder="1" applyAlignment="1" applyProtection="1">
      <alignment vertical="top" wrapText="1" readingOrder="1"/>
      <protection locked="0"/>
    </xf>
    <xf numFmtId="0" fontId="4" fillId="0" borderId="10" xfId="0" applyFont="1" applyFill="1" applyBorder="1" applyAlignment="1" applyProtection="1">
      <alignment horizontal="center" vertical="top" wrapText="1" readingOrder="1"/>
      <protection locked="0"/>
    </xf>
    <xf numFmtId="0" fontId="3" fillId="0" borderId="16" xfId="0" applyFont="1" applyFill="1" applyBorder="1" applyAlignment="1" applyProtection="1">
      <alignment vertical="top" wrapText="1"/>
      <protection locked="0"/>
    </xf>
    <xf numFmtId="0" fontId="4" fillId="0" borderId="19" xfId="0" applyFont="1" applyFill="1" applyBorder="1" applyAlignment="1" applyProtection="1">
      <alignment vertical="top" wrapText="1" readingOrder="1"/>
      <protection locked="0"/>
    </xf>
    <xf numFmtId="0" fontId="4" fillId="0" borderId="16" xfId="0" applyFont="1" applyFill="1" applyBorder="1" applyAlignment="1" applyProtection="1">
      <alignment vertical="top" wrapText="1" readingOrder="1"/>
      <protection locked="0"/>
    </xf>
    <xf numFmtId="191" fontId="4" fillId="0" borderId="16" xfId="0" applyNumberFormat="1" applyFont="1" applyFill="1" applyBorder="1" applyAlignment="1" applyProtection="1">
      <alignment vertical="top" wrapText="1" readingOrder="1"/>
      <protection locked="0"/>
    </xf>
    <xf numFmtId="0" fontId="3" fillId="0" borderId="29" xfId="0" applyFont="1" applyFill="1" applyBorder="1" applyAlignment="1" applyProtection="1">
      <alignment vertical="top" wrapText="1" readingOrder="1"/>
      <protection locked="0"/>
    </xf>
    <xf numFmtId="0" fontId="4" fillId="0" borderId="15" xfId="0" applyFont="1" applyFill="1" applyBorder="1" applyAlignment="1" applyProtection="1">
      <alignment vertical="top" wrapText="1" readingOrder="1"/>
      <protection locked="0"/>
    </xf>
    <xf numFmtId="0" fontId="4" fillId="0" borderId="15" xfId="0" applyFont="1" applyFill="1" applyBorder="1" applyAlignment="1" applyProtection="1">
      <alignment horizontal="center" vertical="top" wrapText="1" readingOrder="1"/>
      <protection locked="0"/>
    </xf>
    <xf numFmtId="191" fontId="4" fillId="0" borderId="15" xfId="0" applyNumberFormat="1" applyFont="1" applyFill="1" applyBorder="1" applyAlignment="1" applyProtection="1">
      <alignment vertical="top" wrapText="1" readingOrder="1"/>
      <protection locked="0"/>
    </xf>
    <xf numFmtId="191" fontId="4" fillId="0" borderId="14" xfId="0" applyNumberFormat="1" applyFont="1" applyFill="1" applyBorder="1" applyAlignment="1" applyProtection="1">
      <alignment vertical="top" wrapText="1" readingOrder="1"/>
      <protection locked="0"/>
    </xf>
    <xf numFmtId="0" fontId="3" fillId="0" borderId="14" xfId="0" applyFont="1" applyFill="1" applyBorder="1" applyAlignment="1" applyProtection="1">
      <alignment vertical="top" wrapText="1" readingOrder="1"/>
      <protection locked="0"/>
    </xf>
    <xf numFmtId="0" fontId="3" fillId="0" borderId="14" xfId="0" applyFont="1" applyFill="1" applyBorder="1" applyAlignment="1" applyProtection="1">
      <alignment horizontal="center" vertical="top" wrapText="1" readingOrder="1"/>
      <protection locked="0"/>
    </xf>
    <xf numFmtId="49" fontId="3" fillId="0" borderId="14" xfId="0" applyNumberFormat="1" applyFont="1" applyFill="1" applyBorder="1" applyAlignment="1" applyProtection="1">
      <alignment horizontal="center" vertical="top" wrapText="1" readingOrder="1"/>
      <protection locked="0"/>
    </xf>
    <xf numFmtId="0" fontId="3" fillId="0" borderId="15" xfId="0" applyFont="1" applyFill="1" applyBorder="1" applyAlignment="1" applyProtection="1">
      <alignment vertical="top" wrapText="1" readingOrder="1"/>
      <protection locked="0"/>
    </xf>
    <xf numFmtId="49" fontId="4" fillId="0" borderId="15" xfId="0" applyNumberFormat="1" applyFont="1" applyFill="1" applyBorder="1" applyAlignment="1" applyProtection="1">
      <alignment horizontal="center" vertical="top" wrapText="1" readingOrder="1"/>
      <protection locked="0"/>
    </xf>
    <xf numFmtId="0" fontId="4" fillId="0" borderId="13" xfId="0" applyFont="1" applyFill="1" applyBorder="1" applyAlignment="1" applyProtection="1">
      <alignment vertical="top" wrapText="1" readingOrder="1"/>
      <protection locked="0"/>
    </xf>
    <xf numFmtId="49" fontId="4" fillId="0" borderId="14" xfId="0" applyNumberFormat="1" applyFont="1" applyFill="1" applyBorder="1" applyAlignment="1" applyProtection="1">
      <alignment horizontal="center" vertical="top" wrapText="1" readingOrder="1"/>
      <protection locked="0"/>
    </xf>
    <xf numFmtId="191" fontId="3" fillId="0" borderId="14" xfId="0" applyNumberFormat="1" applyFont="1" applyFill="1" applyBorder="1" applyAlignment="1" applyProtection="1">
      <alignment vertical="top" wrapText="1" readingOrder="1"/>
      <protection locked="0"/>
    </xf>
    <xf numFmtId="0" fontId="3" fillId="0" borderId="13" xfId="0" applyFont="1" applyFill="1" applyBorder="1" applyAlignment="1" applyProtection="1">
      <alignment vertical="top" wrapText="1" readingOrder="1"/>
      <protection locked="0"/>
    </xf>
    <xf numFmtId="193" fontId="3" fillId="0" borderId="13" xfId="0" applyNumberFormat="1" applyFont="1" applyFill="1" applyBorder="1" applyAlignment="1" applyProtection="1">
      <alignment vertical="top" wrapText="1" readingOrder="1"/>
      <protection locked="0"/>
    </xf>
    <xf numFmtId="0" fontId="3" fillId="0" borderId="12" xfId="0" applyFont="1" applyFill="1" applyBorder="1" applyAlignment="1" applyProtection="1">
      <alignment vertical="top" wrapText="1" readingOrder="1"/>
      <protection locked="0"/>
    </xf>
    <xf numFmtId="0" fontId="5" fillId="0" borderId="16" xfId="0" applyFont="1" applyFill="1" applyBorder="1" applyAlignment="1" applyProtection="1">
      <alignment horizontal="center" vertical="top" wrapText="1" readingOrder="1"/>
      <protection locked="0"/>
    </xf>
    <xf numFmtId="193" fontId="3" fillId="0" borderId="14" xfId="0" applyNumberFormat="1" applyFont="1" applyFill="1" applyBorder="1" applyAlignment="1" applyProtection="1">
      <alignment vertical="top" wrapText="1" readingOrder="1"/>
      <protection locked="0"/>
    </xf>
    <xf numFmtId="49" fontId="4" fillId="0" borderId="11" xfId="0" applyNumberFormat="1" applyFont="1" applyFill="1" applyBorder="1" applyAlignment="1" applyProtection="1">
      <alignment horizontal="center" vertical="top" wrapText="1" readingOrder="1"/>
      <protection locked="0"/>
    </xf>
    <xf numFmtId="192" fontId="3" fillId="0" borderId="12" xfId="0" applyNumberFormat="1" applyFont="1" applyFill="1" applyBorder="1" applyAlignment="1" applyProtection="1">
      <alignment vertical="top" wrapText="1" readingOrder="1"/>
      <protection locked="0"/>
    </xf>
    <xf numFmtId="0" fontId="2" fillId="0" borderId="16" xfId="0" applyNumberFormat="1" applyFont="1" applyFill="1" applyBorder="1" applyAlignment="1" applyProtection="1">
      <alignment horizontal="center" vertical="center" wrapText="1" shrinkToFit="1"/>
      <protection locked="0"/>
    </xf>
    <xf numFmtId="0" fontId="1"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8" fillId="0" borderId="0" xfId="0" applyFont="1" applyFill="1" applyBorder="1" applyAlignment="1">
      <alignment/>
    </xf>
    <xf numFmtId="199" fontId="1" fillId="0" borderId="0" xfId="0" applyNumberFormat="1" applyFont="1" applyFill="1" applyAlignment="1">
      <alignment horizontal="center"/>
    </xf>
    <xf numFmtId="193" fontId="3" fillId="0" borderId="11" xfId="0" applyNumberFormat="1" applyFont="1" applyFill="1" applyBorder="1" applyAlignment="1" applyProtection="1">
      <alignment vertical="top" wrapText="1" readingOrder="1"/>
      <protection locked="0"/>
    </xf>
    <xf numFmtId="0" fontId="3" fillId="0" borderId="11" xfId="0" applyFont="1" applyFill="1" applyBorder="1" applyAlignment="1" applyProtection="1">
      <alignment horizontal="center" wrapText="1"/>
      <protection locked="0"/>
    </xf>
    <xf numFmtId="0" fontId="5" fillId="0" borderId="31" xfId="0" applyNumberFormat="1" applyFont="1" applyFill="1" applyBorder="1" applyAlignment="1" applyProtection="1">
      <alignment horizontal="center" vertical="center" wrapText="1" shrinkToFit="1"/>
      <protection locked="0"/>
    </xf>
    <xf numFmtId="0" fontId="5" fillId="0" borderId="14" xfId="0" applyFont="1" applyFill="1" applyBorder="1" applyAlignment="1" applyProtection="1">
      <alignment horizontal="center" vertical="top" wrapText="1" readingOrder="1"/>
      <protection locked="0"/>
    </xf>
    <xf numFmtId="0" fontId="5" fillId="0" borderId="20" xfId="52" applyNumberFormat="1" applyFont="1" applyFill="1" applyBorder="1" applyAlignment="1">
      <alignment horizontal="center" vertical="center" wrapText="1"/>
      <protection/>
    </xf>
    <xf numFmtId="0" fontId="5" fillId="0" borderId="20" xfId="0" applyNumberFormat="1" applyFont="1" applyFill="1" applyBorder="1" applyAlignment="1" applyProtection="1">
      <alignment horizontal="center" vertical="center" wrapText="1" shrinkToFit="1"/>
      <protection locked="0"/>
    </xf>
    <xf numFmtId="0" fontId="5" fillId="0" borderId="29" xfId="0" applyNumberFormat="1" applyFont="1" applyFill="1" applyBorder="1" applyAlignment="1" applyProtection="1">
      <alignment horizontal="center" vertical="center" wrapText="1" shrinkToFit="1"/>
      <protection locked="0"/>
    </xf>
    <xf numFmtId="0" fontId="5" fillId="0" borderId="15" xfId="0" applyFont="1" applyFill="1" applyBorder="1" applyAlignment="1" applyProtection="1">
      <alignment horizontal="center" vertical="top" wrapText="1" readingOrder="1"/>
      <protection locked="0"/>
    </xf>
    <xf numFmtId="0" fontId="5" fillId="0" borderId="14" xfId="52" applyNumberFormat="1" applyFont="1" applyFill="1" applyBorder="1" applyAlignment="1">
      <alignment horizontal="center" vertical="center" wrapText="1"/>
      <protection/>
    </xf>
    <xf numFmtId="193" fontId="3" fillId="0" borderId="23" xfId="0" applyNumberFormat="1" applyFont="1" applyFill="1" applyBorder="1" applyAlignment="1" applyProtection="1">
      <alignment vertical="top" wrapText="1" readingOrder="1"/>
      <protection locked="0"/>
    </xf>
    <xf numFmtId="14" fontId="2" fillId="0" borderId="11" xfId="0" applyNumberFormat="1" applyFont="1" applyFill="1" applyBorder="1" applyAlignment="1" applyProtection="1">
      <alignment horizontal="center" vertical="top" wrapText="1" shrinkToFit="1"/>
      <protection locked="0"/>
    </xf>
    <xf numFmtId="49" fontId="9" fillId="0" borderId="14" xfId="0" applyNumberFormat="1" applyFont="1" applyFill="1" applyBorder="1" applyAlignment="1">
      <alignment horizontal="left" vertical="center"/>
    </xf>
    <xf numFmtId="49" fontId="0" fillId="0" borderId="0" xfId="0" applyNumberFormat="1" applyFill="1" applyAlignment="1">
      <alignment horizontal="center" vertical="center"/>
    </xf>
    <xf numFmtId="49" fontId="9" fillId="0" borderId="14" xfId="0" applyNumberFormat="1" applyFont="1" applyFill="1" applyBorder="1" applyAlignment="1">
      <alignment horizontal="left"/>
    </xf>
    <xf numFmtId="0" fontId="0" fillId="0" borderId="0" xfId="0" applyFont="1" applyFill="1" applyAlignment="1">
      <alignment/>
    </xf>
    <xf numFmtId="49" fontId="0" fillId="0" borderId="0" xfId="0" applyNumberFormat="1" applyFill="1" applyAlignment="1">
      <alignment horizontal="left"/>
    </xf>
    <xf numFmtId="49" fontId="0" fillId="0" borderId="0" xfId="0" applyNumberFormat="1" applyFill="1" applyAlignment="1">
      <alignment/>
    </xf>
    <xf numFmtId="193" fontId="11" fillId="0" borderId="0" xfId="0" applyNumberFormat="1" applyFont="1" applyFill="1" applyAlignment="1">
      <alignment/>
    </xf>
    <xf numFmtId="4" fontId="11" fillId="0" borderId="0" xfId="0" applyNumberFormat="1" applyFont="1" applyFill="1" applyAlignment="1">
      <alignment/>
    </xf>
    <xf numFmtId="4" fontId="10" fillId="0" borderId="0" xfId="0" applyNumberFormat="1" applyFont="1" applyFill="1" applyAlignment="1">
      <alignment/>
    </xf>
    <xf numFmtId="49" fontId="4" fillId="0" borderId="16" xfId="0" applyNumberFormat="1" applyFont="1" applyFill="1" applyBorder="1" applyAlignment="1" applyProtection="1">
      <alignment horizontal="center" vertical="top" wrapText="1" readingOrder="1"/>
      <protection locked="0"/>
    </xf>
    <xf numFmtId="0" fontId="3" fillId="0" borderId="15" xfId="0" applyFont="1" applyFill="1" applyBorder="1" applyAlignment="1" applyProtection="1">
      <alignment horizontal="left" vertical="top" wrapText="1" readingOrder="1"/>
      <protection locked="0"/>
    </xf>
    <xf numFmtId="14" fontId="2" fillId="0" borderId="16" xfId="0" applyNumberFormat="1" applyFont="1" applyFill="1" applyBorder="1" applyAlignment="1" applyProtection="1">
      <alignment horizontal="center" vertical="center" wrapText="1" shrinkToFit="1"/>
      <protection locked="0"/>
    </xf>
    <xf numFmtId="0" fontId="3" fillId="0" borderId="20" xfId="0" applyNumberFormat="1" applyFont="1" applyFill="1" applyBorder="1" applyAlignment="1" applyProtection="1">
      <alignment horizontal="center" vertical="top" wrapText="1" shrinkToFit="1"/>
      <protection locked="0"/>
    </xf>
    <xf numFmtId="191" fontId="4" fillId="0" borderId="32" xfId="0" applyNumberFormat="1" applyFont="1" applyFill="1" applyBorder="1" applyAlignment="1" applyProtection="1">
      <alignment vertical="top" wrapText="1" readingOrder="1"/>
      <protection locked="0"/>
    </xf>
    <xf numFmtId="0" fontId="3" fillId="0" borderId="13" xfId="0" applyFont="1" applyFill="1" applyBorder="1" applyAlignment="1" applyProtection="1">
      <alignment horizontal="left" vertical="top" wrapText="1" readingOrder="1"/>
      <protection locked="0"/>
    </xf>
    <xf numFmtId="49" fontId="3" fillId="0" borderId="33" xfId="0" applyNumberFormat="1" applyFont="1" applyFill="1" applyBorder="1" applyAlignment="1" applyProtection="1">
      <alignment horizontal="center" vertical="top" wrapText="1" readingOrder="1"/>
      <protection locked="0"/>
    </xf>
    <xf numFmtId="193" fontId="3" fillId="0" borderId="19" xfId="0" applyNumberFormat="1" applyFont="1" applyFill="1" applyBorder="1" applyAlignment="1" applyProtection="1">
      <alignment vertical="top" wrapText="1" readingOrder="1"/>
      <protection locked="0"/>
    </xf>
    <xf numFmtId="0" fontId="3" fillId="0" borderId="31" xfId="0" applyFont="1" applyFill="1" applyBorder="1" applyAlignment="1" applyProtection="1">
      <alignment horizontal="center" vertical="top" wrapText="1" readingOrder="1"/>
      <protection locked="0"/>
    </xf>
    <xf numFmtId="49" fontId="3" fillId="0" borderId="34" xfId="0" applyNumberFormat="1" applyFont="1" applyFill="1" applyBorder="1" applyAlignment="1" applyProtection="1">
      <alignment horizontal="center" vertical="top" wrapText="1" readingOrder="1"/>
      <protection locked="0"/>
    </xf>
    <xf numFmtId="0" fontId="3" fillId="0" borderId="14" xfId="0" applyFont="1" applyFill="1" applyBorder="1" applyAlignment="1" applyProtection="1">
      <alignment horizontal="left" vertical="top" wrapText="1" readingOrder="1"/>
      <protection locked="0"/>
    </xf>
    <xf numFmtId="0" fontId="4" fillId="0" borderId="29" xfId="0" applyFont="1" applyFill="1" applyBorder="1" applyAlignment="1" applyProtection="1">
      <alignment horizontal="center" vertical="top" wrapText="1" readingOrder="1"/>
      <protection locked="0"/>
    </xf>
    <xf numFmtId="0" fontId="4" fillId="0" borderId="31" xfId="0" applyFont="1" applyFill="1" applyBorder="1" applyAlignment="1" applyProtection="1">
      <alignment horizontal="center" vertical="top" wrapText="1" readingOrder="1"/>
      <protection locked="0"/>
    </xf>
    <xf numFmtId="0" fontId="3" fillId="0" borderId="35" xfId="0" applyFont="1" applyFill="1" applyBorder="1" applyAlignment="1" applyProtection="1">
      <alignment horizontal="center" vertical="top" wrapText="1" readingOrder="1"/>
      <protection locked="0"/>
    </xf>
    <xf numFmtId="0" fontId="3" fillId="0" borderId="18" xfId="0" applyFont="1" applyFill="1" applyBorder="1" applyAlignment="1" applyProtection="1">
      <alignment horizontal="center" vertical="top" wrapText="1" readingOrder="1"/>
      <protection locked="0"/>
    </xf>
    <xf numFmtId="0" fontId="3" fillId="0" borderId="29" xfId="0" applyFont="1" applyFill="1" applyBorder="1" applyAlignment="1" applyProtection="1">
      <alignment horizontal="center" vertical="top" wrapText="1" readingOrder="1"/>
      <protection locked="0"/>
    </xf>
    <xf numFmtId="0" fontId="4" fillId="0" borderId="36" xfId="0" applyFont="1" applyFill="1" applyBorder="1" applyAlignment="1" applyProtection="1">
      <alignment horizontal="center" vertical="top" wrapText="1" readingOrder="1"/>
      <protection locked="0"/>
    </xf>
    <xf numFmtId="0" fontId="4" fillId="0" borderId="25" xfId="0" applyFont="1" applyFill="1" applyBorder="1" applyAlignment="1" applyProtection="1">
      <alignment horizontal="center" vertical="top" wrapText="1" readingOrder="1"/>
      <protection locked="0"/>
    </xf>
    <xf numFmtId="0" fontId="3" fillId="0" borderId="37" xfId="0" applyFont="1" applyFill="1" applyBorder="1" applyAlignment="1" applyProtection="1">
      <alignment horizontal="center" vertical="top" wrapText="1" readingOrder="1"/>
      <protection locked="0"/>
    </xf>
    <xf numFmtId="49" fontId="5" fillId="0" borderId="36" xfId="0" applyNumberFormat="1" applyFont="1" applyFill="1" applyBorder="1" applyAlignment="1" applyProtection="1">
      <alignment horizontal="center" vertical="top" wrapText="1" readingOrder="1"/>
      <protection locked="0"/>
    </xf>
    <xf numFmtId="0" fontId="5" fillId="0" borderId="38" xfId="0" applyFont="1" applyFill="1" applyBorder="1" applyAlignment="1" applyProtection="1">
      <alignment horizontal="center" vertical="top" wrapText="1" readingOrder="1"/>
      <protection locked="0"/>
    </xf>
    <xf numFmtId="49" fontId="3" fillId="0" borderId="25" xfId="0" applyNumberFormat="1" applyFont="1" applyFill="1" applyBorder="1" applyAlignment="1" applyProtection="1">
      <alignment horizontal="center" vertical="top" wrapText="1" readingOrder="1"/>
      <protection locked="0"/>
    </xf>
    <xf numFmtId="49" fontId="3" fillId="0" borderId="37" xfId="0" applyNumberFormat="1" applyFont="1" applyFill="1" applyBorder="1" applyAlignment="1" applyProtection="1">
      <alignment horizontal="center" vertical="top" wrapText="1" readingOrder="1"/>
      <protection locked="0"/>
    </xf>
    <xf numFmtId="0" fontId="4" fillId="0" borderId="18" xfId="0" applyFont="1" applyFill="1" applyBorder="1" applyAlignment="1" applyProtection="1">
      <alignment horizontal="center" vertical="top" wrapText="1" readingOrder="1"/>
      <protection locked="0"/>
    </xf>
    <xf numFmtId="0" fontId="4" fillId="0" borderId="39" xfId="0" applyFont="1" applyFill="1" applyBorder="1" applyAlignment="1" applyProtection="1">
      <alignment horizontal="center" vertical="top" wrapText="1" readingOrder="1"/>
      <protection locked="0"/>
    </xf>
    <xf numFmtId="49" fontId="5" fillId="0" borderId="29" xfId="0" applyNumberFormat="1" applyFont="1" applyFill="1" applyBorder="1" applyAlignment="1" applyProtection="1">
      <alignment horizontal="center" vertical="top" wrapText="1" readingOrder="1"/>
      <protection locked="0"/>
    </xf>
    <xf numFmtId="49" fontId="3" fillId="0" borderId="38" xfId="0" applyNumberFormat="1" applyFont="1" applyFill="1" applyBorder="1" applyAlignment="1" applyProtection="1">
      <alignment horizontal="center" vertical="top" wrapText="1" readingOrder="1"/>
      <protection locked="0"/>
    </xf>
    <xf numFmtId="49" fontId="3" fillId="0" borderId="18" xfId="0" applyNumberFormat="1" applyFont="1" applyFill="1" applyBorder="1" applyAlignment="1" applyProtection="1">
      <alignment horizontal="center" vertical="top" wrapText="1" readingOrder="1"/>
      <protection locked="0"/>
    </xf>
    <xf numFmtId="49" fontId="3" fillId="0" borderId="35" xfId="0" applyNumberFormat="1" applyFont="1" applyFill="1" applyBorder="1" applyAlignment="1" applyProtection="1">
      <alignment horizontal="center" vertical="top" wrapText="1" readingOrder="1"/>
      <protection locked="0"/>
    </xf>
    <xf numFmtId="49" fontId="3" fillId="0" borderId="29" xfId="0" applyNumberFormat="1" applyFont="1" applyFill="1" applyBorder="1" applyAlignment="1" applyProtection="1">
      <alignment horizontal="center" vertical="top" wrapText="1" readingOrder="1"/>
      <protection locked="0"/>
    </xf>
    <xf numFmtId="49" fontId="3" fillId="0" borderId="40" xfId="0" applyNumberFormat="1" applyFont="1" applyFill="1" applyBorder="1" applyAlignment="1" applyProtection="1">
      <alignment horizontal="center" vertical="top" wrapText="1" readingOrder="1"/>
      <protection locked="0"/>
    </xf>
    <xf numFmtId="49" fontId="3" fillId="0" borderId="36" xfId="0" applyNumberFormat="1" applyFont="1" applyFill="1" applyBorder="1" applyAlignment="1" applyProtection="1">
      <alignment horizontal="center" vertical="top" wrapText="1" readingOrder="1"/>
      <protection locked="0"/>
    </xf>
    <xf numFmtId="49" fontId="4" fillId="0" borderId="37" xfId="0" applyNumberFormat="1" applyFont="1" applyFill="1" applyBorder="1" applyAlignment="1" applyProtection="1">
      <alignment horizontal="center" vertical="top" wrapText="1" readingOrder="1"/>
      <protection locked="0"/>
    </xf>
    <xf numFmtId="0" fontId="4" fillId="0" borderId="35" xfId="0" applyFont="1" applyFill="1" applyBorder="1" applyAlignment="1" applyProtection="1">
      <alignment horizontal="center" vertical="top" wrapText="1" readingOrder="1"/>
      <protection locked="0"/>
    </xf>
    <xf numFmtId="0" fontId="3" fillId="0" borderId="39" xfId="0" applyFont="1" applyFill="1" applyBorder="1" applyAlignment="1" applyProtection="1">
      <alignment horizontal="center" vertical="top" wrapText="1" readingOrder="1"/>
      <protection locked="0"/>
    </xf>
    <xf numFmtId="49" fontId="4" fillId="0" borderId="29" xfId="0" applyNumberFormat="1" applyFont="1" applyFill="1" applyBorder="1" applyAlignment="1" applyProtection="1">
      <alignment horizontal="center" vertical="top" wrapText="1" readingOrder="1"/>
      <protection locked="0"/>
    </xf>
    <xf numFmtId="0" fontId="4" fillId="0" borderId="37" xfId="0" applyFont="1" applyFill="1" applyBorder="1" applyAlignment="1" applyProtection="1">
      <alignment horizontal="center" vertical="top" wrapText="1" readingOrder="1"/>
      <protection locked="0"/>
    </xf>
    <xf numFmtId="192" fontId="4" fillId="0" borderId="23" xfId="0" applyNumberFormat="1" applyFont="1" applyFill="1" applyBorder="1" applyAlignment="1" applyProtection="1">
      <alignment vertical="top" wrapText="1" readingOrder="1"/>
      <protection locked="0"/>
    </xf>
    <xf numFmtId="191" fontId="4" fillId="0" borderId="23" xfId="0" applyNumberFormat="1" applyFont="1" applyFill="1" applyBorder="1" applyAlignment="1" applyProtection="1">
      <alignment vertical="top" wrapText="1" readingOrder="1"/>
      <protection locked="0"/>
    </xf>
    <xf numFmtId="0" fontId="4" fillId="0" borderId="41" xfId="0" applyFont="1" applyFill="1" applyBorder="1" applyAlignment="1" applyProtection="1">
      <alignment vertical="top" wrapText="1" readingOrder="1"/>
      <protection locked="0"/>
    </xf>
    <xf numFmtId="193" fontId="5" fillId="0" borderId="23" xfId="0" applyNumberFormat="1" applyFont="1" applyFill="1" applyBorder="1" applyAlignment="1" applyProtection="1">
      <alignment vertical="top" wrapText="1" readingOrder="1"/>
      <protection locked="0"/>
    </xf>
    <xf numFmtId="193" fontId="3" fillId="0" borderId="42" xfId="0" applyNumberFormat="1" applyFont="1" applyFill="1" applyBorder="1" applyAlignment="1" applyProtection="1">
      <alignment vertical="top" wrapText="1" readingOrder="1"/>
      <protection locked="0"/>
    </xf>
    <xf numFmtId="192" fontId="3" fillId="0" borderId="23" xfId="0" applyNumberFormat="1" applyFont="1" applyFill="1" applyBorder="1" applyAlignment="1" applyProtection="1">
      <alignment vertical="top" wrapText="1" readingOrder="1"/>
      <protection locked="0"/>
    </xf>
    <xf numFmtId="192" fontId="3" fillId="0" borderId="10" xfId="0" applyNumberFormat="1" applyFont="1" applyFill="1" applyBorder="1" applyAlignment="1" applyProtection="1">
      <alignment vertical="top" wrapText="1" readingOrder="1"/>
      <protection locked="0"/>
    </xf>
    <xf numFmtId="191" fontId="4" fillId="0" borderId="21" xfId="0" applyNumberFormat="1" applyFont="1" applyFill="1" applyBorder="1" applyAlignment="1" applyProtection="1">
      <alignment vertical="top" wrapText="1" readingOrder="1"/>
      <protection locked="0"/>
    </xf>
    <xf numFmtId="191" fontId="3" fillId="0" borderId="21" xfId="0" applyNumberFormat="1" applyFont="1" applyFill="1" applyBorder="1" applyAlignment="1" applyProtection="1">
      <alignment vertical="top" wrapText="1" readingOrder="1"/>
      <protection locked="0"/>
    </xf>
    <xf numFmtId="191" fontId="3" fillId="0" borderId="19" xfId="0" applyNumberFormat="1" applyFont="1" applyFill="1" applyBorder="1" applyAlignment="1" applyProtection="1">
      <alignment vertical="top" wrapText="1" readingOrder="1"/>
      <protection locked="0"/>
    </xf>
    <xf numFmtId="191" fontId="4" fillId="0" borderId="19" xfId="0" applyNumberFormat="1" applyFont="1" applyFill="1" applyBorder="1" applyAlignment="1" applyProtection="1">
      <alignment vertical="top" wrapText="1" readingOrder="1"/>
      <protection locked="0"/>
    </xf>
    <xf numFmtId="191" fontId="3" fillId="0" borderId="43" xfId="0" applyNumberFormat="1" applyFont="1" applyFill="1" applyBorder="1" applyAlignment="1" applyProtection="1">
      <alignment vertical="top" wrapText="1" readingOrder="1"/>
      <protection locked="0"/>
    </xf>
    <xf numFmtId="0" fontId="3" fillId="0" borderId="21" xfId="0" applyFont="1" applyFill="1" applyBorder="1" applyAlignment="1" applyProtection="1">
      <alignment vertical="top" wrapText="1" readingOrder="1"/>
      <protection locked="0"/>
    </xf>
    <xf numFmtId="191" fontId="4" fillId="0" borderId="43" xfId="0" applyNumberFormat="1" applyFont="1" applyFill="1" applyBorder="1" applyAlignment="1" applyProtection="1">
      <alignment vertical="top" wrapText="1" readingOrder="1"/>
      <protection locked="0"/>
    </xf>
    <xf numFmtId="49" fontId="4" fillId="0" borderId="12" xfId="0" applyNumberFormat="1" applyFont="1" applyFill="1" applyBorder="1" applyAlignment="1" applyProtection="1">
      <alignment horizontal="center" vertical="top" wrapText="1" readingOrder="1"/>
      <protection locked="0"/>
    </xf>
    <xf numFmtId="49" fontId="5" fillId="0" borderId="12" xfId="0" applyNumberFormat="1" applyFont="1" applyFill="1" applyBorder="1" applyAlignment="1" applyProtection="1">
      <alignment horizontal="center" vertical="top" wrapText="1" readingOrder="1"/>
      <protection locked="0"/>
    </xf>
    <xf numFmtId="0" fontId="3" fillId="0" borderId="14" xfId="52" applyNumberFormat="1" applyFont="1" applyFill="1" applyBorder="1" applyAlignment="1">
      <alignment horizontal="center" vertical="center" wrapText="1"/>
      <protection/>
    </xf>
    <xf numFmtId="0" fontId="3" fillId="0" borderId="14" xfId="0" applyNumberFormat="1" applyFont="1" applyFill="1" applyBorder="1" applyAlignment="1" applyProtection="1">
      <alignment vertical="top" wrapText="1" shrinkToFit="1"/>
      <protection locked="0"/>
    </xf>
    <xf numFmtId="0" fontId="4" fillId="0" borderId="21" xfId="0" applyFont="1" applyFill="1" applyBorder="1" applyAlignment="1" applyProtection="1">
      <alignment vertical="top" wrapText="1" readingOrder="1"/>
      <protection locked="0"/>
    </xf>
    <xf numFmtId="0" fontId="2" fillId="0" borderId="27" xfId="0" applyNumberFormat="1" applyFont="1" applyFill="1" applyBorder="1" applyAlignment="1" applyProtection="1">
      <alignment horizontal="center" vertical="top" wrapText="1" shrinkToFit="1"/>
      <protection locked="0"/>
    </xf>
    <xf numFmtId="0" fontId="2" fillId="0" borderId="25" xfId="0" applyNumberFormat="1" applyFont="1" applyFill="1" applyBorder="1" applyAlignment="1" applyProtection="1">
      <alignment horizontal="center" vertical="top" wrapText="1" shrinkToFit="1"/>
      <protection locked="0"/>
    </xf>
    <xf numFmtId="0" fontId="2" fillId="0" borderId="16"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vertical="top" wrapText="1" shrinkToFit="1"/>
      <protection locked="0"/>
    </xf>
    <xf numFmtId="0" fontId="3" fillId="0" borderId="23" xfId="0" applyNumberFormat="1" applyFont="1" applyFill="1" applyBorder="1" applyAlignment="1" applyProtection="1">
      <alignment horizontal="center" vertical="top" wrapText="1" shrinkToFit="1"/>
      <protection locked="0"/>
    </xf>
    <xf numFmtId="14" fontId="3" fillId="0" borderId="30" xfId="0" applyNumberFormat="1" applyFont="1" applyFill="1" applyBorder="1" applyAlignment="1" applyProtection="1">
      <alignment horizontal="center" vertical="top" wrapText="1" shrinkToFit="1"/>
      <protection locked="0"/>
    </xf>
    <xf numFmtId="0" fontId="3" fillId="0" borderId="14" xfId="0" applyNumberFormat="1" applyFont="1" applyFill="1" applyBorder="1" applyAlignment="1" applyProtection="1">
      <alignment horizontal="center" vertical="top" wrapText="1" shrinkToFit="1"/>
      <protection locked="0"/>
    </xf>
    <xf numFmtId="14" fontId="3" fillId="0" borderId="14" xfId="0" applyNumberFormat="1" applyFont="1" applyFill="1" applyBorder="1" applyAlignment="1" applyProtection="1">
      <alignment horizontal="center" vertical="top" wrapText="1" shrinkToFit="1"/>
      <protection locked="0"/>
    </xf>
    <xf numFmtId="14" fontId="2" fillId="0" borderId="14" xfId="0" applyNumberFormat="1" applyFont="1" applyFill="1" applyBorder="1" applyAlignment="1" applyProtection="1">
      <alignment horizontal="center" vertical="top" wrapText="1" shrinkToFit="1"/>
      <protection locked="0"/>
    </xf>
    <xf numFmtId="14" fontId="2" fillId="0" borderId="44" xfId="0" applyNumberFormat="1" applyFont="1" applyFill="1" applyBorder="1" applyAlignment="1" applyProtection="1">
      <alignment horizontal="center" vertical="top" wrapText="1" shrinkToFit="1"/>
      <protection locked="0"/>
    </xf>
    <xf numFmtId="14" fontId="3" fillId="0" borderId="13" xfId="0" applyNumberFormat="1" applyFont="1" applyFill="1" applyBorder="1" applyAlignment="1" applyProtection="1">
      <alignment horizontal="center" vertical="top" wrapText="1" shrinkToFit="1"/>
      <protection locked="0"/>
    </xf>
    <xf numFmtId="0" fontId="2" fillId="0" borderId="15" xfId="0" applyNumberFormat="1" applyFont="1" applyFill="1" applyBorder="1" applyAlignment="1" applyProtection="1">
      <alignment horizontal="center" vertical="top" wrapText="1"/>
      <protection/>
    </xf>
    <xf numFmtId="14" fontId="3" fillId="0" borderId="20" xfId="0" applyNumberFormat="1" applyFont="1" applyFill="1" applyBorder="1" applyAlignment="1" applyProtection="1">
      <alignment horizontal="center" vertical="top" wrapText="1" shrinkToFit="1"/>
      <protection locked="0"/>
    </xf>
    <xf numFmtId="0" fontId="3" fillId="0" borderId="10" xfId="52" applyNumberFormat="1" applyFont="1" applyFill="1" applyBorder="1" applyAlignment="1">
      <alignment horizontal="center" vertical="top" wrapText="1"/>
      <protection/>
    </xf>
    <xf numFmtId="0" fontId="3" fillId="0" borderId="17" xfId="0" applyNumberFormat="1" applyFont="1" applyFill="1" applyBorder="1" applyAlignment="1" applyProtection="1">
      <alignment horizontal="center" vertical="top" wrapText="1" shrinkToFit="1"/>
      <protection locked="0"/>
    </xf>
    <xf numFmtId="0" fontId="4" fillId="0" borderId="11" xfId="0" applyFont="1" applyFill="1" applyBorder="1" applyAlignment="1" applyProtection="1">
      <alignment horizontal="left" vertical="top" wrapText="1" readingOrder="1"/>
      <protection locked="0"/>
    </xf>
    <xf numFmtId="14" fontId="3" fillId="0" borderId="14" xfId="0" applyNumberFormat="1" applyFont="1" applyFill="1" applyBorder="1" applyAlignment="1" applyProtection="1">
      <alignment vertical="top" wrapText="1" readingOrder="1"/>
      <protection locked="0"/>
    </xf>
    <xf numFmtId="0" fontId="3" fillId="0" borderId="16" xfId="0" applyNumberFormat="1" applyFont="1" applyFill="1" applyBorder="1" applyAlignment="1" applyProtection="1">
      <alignment horizontal="center" vertical="top" wrapText="1" shrinkToFit="1"/>
      <protection locked="0"/>
    </xf>
    <xf numFmtId="0" fontId="3" fillId="0" borderId="45" xfId="0" applyFont="1" applyFill="1" applyBorder="1" applyAlignment="1" applyProtection="1">
      <alignment horizontal="center" vertical="top" wrapText="1" readingOrder="1"/>
      <protection locked="0"/>
    </xf>
    <xf numFmtId="192" fontId="3" fillId="0" borderId="27" xfId="0" applyNumberFormat="1" applyFont="1" applyFill="1" applyBorder="1" applyAlignment="1" applyProtection="1">
      <alignment vertical="top" wrapText="1" readingOrder="1"/>
      <protection locked="0"/>
    </xf>
    <xf numFmtId="0" fontId="3" fillId="0" borderId="46" xfId="0" applyFont="1" applyFill="1" applyBorder="1" applyAlignment="1" applyProtection="1">
      <alignment vertical="top" wrapText="1" readingOrder="1"/>
      <protection locked="0"/>
    </xf>
    <xf numFmtId="49" fontId="3" fillId="0" borderId="46" xfId="0" applyNumberFormat="1" applyFont="1" applyFill="1" applyBorder="1" applyAlignment="1" applyProtection="1">
      <alignment horizontal="center" vertical="top" wrapText="1" readingOrder="1"/>
      <protection locked="0"/>
    </xf>
    <xf numFmtId="0" fontId="4" fillId="0" borderId="12" xfId="0" applyFont="1" applyFill="1" applyBorder="1" applyAlignment="1" applyProtection="1">
      <alignment vertical="top" wrapText="1"/>
      <protection locked="0"/>
    </xf>
    <xf numFmtId="0" fontId="6" fillId="0" borderId="12"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top" wrapText="1" shrinkToFit="1"/>
      <protection locked="0"/>
    </xf>
    <xf numFmtId="49" fontId="4" fillId="0" borderId="12" xfId="0" applyNumberFormat="1" applyFont="1" applyFill="1" applyBorder="1" applyAlignment="1" applyProtection="1">
      <alignment horizontal="center" vertical="center" wrapText="1" readingOrder="1"/>
      <protection locked="0"/>
    </xf>
    <xf numFmtId="0" fontId="4" fillId="0" borderId="12" xfId="0" applyFont="1" applyFill="1" applyBorder="1" applyAlignment="1" applyProtection="1">
      <alignment horizontal="center" vertical="center" wrapText="1" readingOrder="1"/>
      <protection locked="0"/>
    </xf>
    <xf numFmtId="4" fontId="4" fillId="0" borderId="12" xfId="0" applyNumberFormat="1" applyFont="1" applyFill="1" applyBorder="1" applyAlignment="1" applyProtection="1">
      <alignment horizontal="right" vertical="center" wrapText="1" readingOrder="1"/>
      <protection locked="0"/>
    </xf>
    <xf numFmtId="0" fontId="4" fillId="0" borderId="12" xfId="0" applyFont="1" applyFill="1" applyBorder="1" applyAlignment="1" applyProtection="1">
      <alignment horizontal="right" vertical="center" wrapText="1" readingOrder="1"/>
      <protection locked="0"/>
    </xf>
    <xf numFmtId="4" fontId="4" fillId="0" borderId="47" xfId="0" applyNumberFormat="1" applyFont="1" applyFill="1" applyBorder="1" applyAlignment="1" applyProtection="1">
      <alignment horizontal="right" vertical="center" wrapText="1" readingOrder="1"/>
      <protection locked="0"/>
    </xf>
    <xf numFmtId="0" fontId="15" fillId="0" borderId="13" xfId="0" applyFont="1" applyFill="1" applyBorder="1" applyAlignment="1">
      <alignment horizontal="center" vertical="center" wrapText="1"/>
    </xf>
    <xf numFmtId="0" fontId="3" fillId="0" borderId="46" xfId="0" applyFont="1" applyFill="1" applyBorder="1" applyAlignment="1">
      <alignment horizontal="center" vertical="top"/>
    </xf>
    <xf numFmtId="0" fontId="4" fillId="0" borderId="13" xfId="0" applyFont="1" applyFill="1" applyBorder="1" applyAlignment="1" applyProtection="1">
      <alignment horizontal="left" vertical="top" wrapText="1" readingOrder="1"/>
      <protection locked="0"/>
    </xf>
    <xf numFmtId="0" fontId="3" fillId="0" borderId="14" xfId="0" applyFont="1" applyFill="1" applyBorder="1" applyAlignment="1">
      <alignment horizontal="center" vertical="top"/>
    </xf>
    <xf numFmtId="14" fontId="3" fillId="0" borderId="16" xfId="0" applyNumberFormat="1" applyFont="1" applyFill="1" applyBorder="1" applyAlignment="1" applyProtection="1">
      <alignment horizontal="center" vertical="top" wrapText="1" shrinkToFit="1"/>
      <protection locked="0"/>
    </xf>
    <xf numFmtId="0" fontId="52" fillId="0" borderId="18" xfId="0" applyFont="1" applyFill="1" applyBorder="1" applyAlignment="1" applyProtection="1">
      <alignment horizontal="center" vertical="top" wrapText="1" readingOrder="1"/>
      <protection locked="0"/>
    </xf>
    <xf numFmtId="0" fontId="52" fillId="0" borderId="0" xfId="0" applyFont="1" applyFill="1" applyBorder="1" applyAlignment="1">
      <alignment/>
    </xf>
    <xf numFmtId="49" fontId="52" fillId="0" borderId="10" xfId="0" applyNumberFormat="1" applyFont="1" applyFill="1" applyBorder="1" applyAlignment="1" applyProtection="1">
      <alignment horizontal="center" vertical="top" wrapText="1" readingOrder="1"/>
      <protection locked="0"/>
    </xf>
    <xf numFmtId="0" fontId="6" fillId="0" borderId="14" xfId="0" applyNumberFormat="1" applyFont="1" applyFill="1" applyBorder="1" applyAlignment="1" applyProtection="1">
      <alignment vertical="center" wrapText="1" shrinkToFit="1"/>
      <protection locked="0"/>
    </xf>
    <xf numFmtId="49" fontId="52" fillId="0" borderId="15" xfId="0" applyNumberFormat="1" applyFont="1" applyFill="1" applyBorder="1" applyAlignment="1" applyProtection="1">
      <alignment horizontal="center" vertical="top" wrapText="1" readingOrder="1"/>
      <protection locked="0"/>
    </xf>
    <xf numFmtId="193" fontId="52" fillId="0" borderId="15" xfId="0" applyNumberFormat="1" applyFont="1" applyFill="1" applyBorder="1" applyAlignment="1" applyProtection="1">
      <alignment vertical="top" wrapText="1" readingOrder="1"/>
      <protection locked="0"/>
    </xf>
    <xf numFmtId="0" fontId="52" fillId="0" borderId="10" xfId="0" applyNumberFormat="1" applyFont="1" applyFill="1" applyBorder="1" applyAlignment="1" applyProtection="1">
      <alignment vertical="top" wrapText="1" shrinkToFit="1"/>
      <protection locked="0"/>
    </xf>
    <xf numFmtId="49" fontId="52" fillId="0" borderId="18" xfId="0" applyNumberFormat="1" applyFont="1" applyFill="1" applyBorder="1" applyAlignment="1" applyProtection="1">
      <alignment horizontal="center" vertical="top" wrapText="1" readingOrder="1"/>
      <protection locked="0"/>
    </xf>
    <xf numFmtId="193" fontId="52" fillId="0" borderId="10" xfId="0" applyNumberFormat="1" applyFont="1" applyFill="1" applyBorder="1" applyAlignment="1" applyProtection="1">
      <alignment vertical="top" wrapText="1" readingOrder="1"/>
      <protection locked="0"/>
    </xf>
    <xf numFmtId="49" fontId="52" fillId="0" borderId="25" xfId="0" applyNumberFormat="1" applyFont="1" applyFill="1" applyBorder="1" applyAlignment="1" applyProtection="1">
      <alignment horizontal="center" vertical="top" wrapText="1" readingOrder="1"/>
      <protection locked="0"/>
    </xf>
    <xf numFmtId="49" fontId="52" fillId="0" borderId="13" xfId="0" applyNumberFormat="1" applyFont="1" applyFill="1" applyBorder="1" applyAlignment="1" applyProtection="1">
      <alignment horizontal="center" vertical="top" wrapText="1" readingOrder="1"/>
      <protection locked="0"/>
    </xf>
    <xf numFmtId="0" fontId="52" fillId="0" borderId="10" xfId="0" applyFont="1" applyFill="1" applyBorder="1" applyAlignment="1" applyProtection="1">
      <alignment vertical="top" wrapText="1" readingOrder="1"/>
      <protection locked="0"/>
    </xf>
    <xf numFmtId="193" fontId="52" fillId="0" borderId="13" xfId="0" applyNumberFormat="1" applyFont="1" applyFill="1" applyBorder="1" applyAlignment="1" applyProtection="1">
      <alignment vertical="top" wrapText="1" readingOrder="1"/>
      <protection locked="0"/>
    </xf>
    <xf numFmtId="49" fontId="52" fillId="0" borderId="26" xfId="0" applyNumberFormat="1" applyFont="1" applyFill="1" applyBorder="1" applyAlignment="1" applyProtection="1">
      <alignment horizontal="center" vertical="top" wrapText="1" readingOrder="1"/>
      <protection locked="0"/>
    </xf>
    <xf numFmtId="0" fontId="16" fillId="0" borderId="14" xfId="0" applyNumberFormat="1" applyFont="1" applyFill="1" applyBorder="1" applyAlignment="1" applyProtection="1">
      <alignment vertical="center" wrapText="1" shrinkToFit="1"/>
      <protection locked="0"/>
    </xf>
    <xf numFmtId="49" fontId="3" fillId="0" borderId="48" xfId="0" applyNumberFormat="1" applyFont="1" applyFill="1" applyBorder="1" applyAlignment="1" applyProtection="1">
      <alignment horizontal="center" vertical="top" wrapText="1" readingOrder="1"/>
      <protection locked="0"/>
    </xf>
    <xf numFmtId="49" fontId="3" fillId="0" borderId="42" xfId="0" applyNumberFormat="1" applyFont="1" applyFill="1" applyBorder="1" applyAlignment="1" applyProtection="1">
      <alignment horizontal="center" vertical="top" wrapText="1" readingOrder="1"/>
      <protection locked="0"/>
    </xf>
    <xf numFmtId="49" fontId="14" fillId="0" borderId="14" xfId="0" applyNumberFormat="1" applyFont="1" applyFill="1" applyBorder="1" applyAlignment="1" applyProtection="1">
      <alignment horizontal="center" vertical="top" wrapText="1" readingOrder="1"/>
      <protection locked="0"/>
    </xf>
    <xf numFmtId="191" fontId="14" fillId="0" borderId="14" xfId="0" applyNumberFormat="1" applyFont="1" applyFill="1" applyBorder="1" applyAlignment="1" applyProtection="1">
      <alignment vertical="top" wrapText="1" readingOrder="1"/>
      <protection locked="0"/>
    </xf>
    <xf numFmtId="0" fontId="14" fillId="0" borderId="0" xfId="0" applyFont="1" applyFill="1" applyBorder="1" applyAlignment="1">
      <alignment/>
    </xf>
    <xf numFmtId="49" fontId="14" fillId="0" borderId="13" xfId="0" applyNumberFormat="1" applyFont="1" applyFill="1" applyBorder="1" applyAlignment="1" applyProtection="1">
      <alignment horizontal="center" vertical="top" wrapText="1" readingOrder="1"/>
      <protection locked="0"/>
    </xf>
    <xf numFmtId="0" fontId="4" fillId="0" borderId="34" xfId="0" applyFont="1" applyFill="1" applyBorder="1" applyAlignment="1" applyProtection="1">
      <alignment horizontal="center" vertical="center" wrapText="1"/>
      <protection locked="0"/>
    </xf>
    <xf numFmtId="0" fontId="3" fillId="0" borderId="13" xfId="0" applyFont="1" applyFill="1" applyBorder="1" applyAlignment="1" applyProtection="1">
      <alignment vertical="top" wrapText="1"/>
      <protection locked="0"/>
    </xf>
    <xf numFmtId="0" fontId="2" fillId="0" borderId="29" xfId="0" applyNumberFormat="1" applyFont="1" applyFill="1" applyBorder="1" applyAlignment="1" applyProtection="1">
      <alignment horizontal="center" vertical="top" wrapText="1" shrinkToFit="1" readingOrder="1"/>
      <protection locked="0"/>
    </xf>
    <xf numFmtId="0" fontId="2" fillId="0" borderId="14" xfId="52" applyNumberFormat="1" applyFont="1" applyFill="1" applyBorder="1" applyAlignment="1">
      <alignment horizontal="center" vertical="top" wrapText="1" readingOrder="1"/>
      <protection/>
    </xf>
    <xf numFmtId="212" fontId="9" fillId="0" borderId="14" xfId="0" applyNumberFormat="1" applyFont="1" applyFill="1" applyBorder="1" applyAlignment="1">
      <alignment/>
    </xf>
    <xf numFmtId="0" fontId="52" fillId="0" borderId="10" xfId="0" applyNumberFormat="1" applyFont="1" applyFill="1" applyBorder="1" applyAlignment="1" applyProtection="1">
      <alignment horizontal="center" vertical="top" wrapText="1" shrinkToFit="1"/>
      <protection locked="0"/>
    </xf>
    <xf numFmtId="0" fontId="3" fillId="0" borderId="19" xfId="0" applyFont="1" applyFill="1" applyBorder="1" applyAlignment="1" applyProtection="1">
      <alignment horizontal="center" vertical="top" wrapText="1" readingOrder="1"/>
      <protection locked="0"/>
    </xf>
    <xf numFmtId="0" fontId="52" fillId="0" borderId="10" xfId="0" applyFont="1" applyFill="1" applyBorder="1" applyAlignment="1" applyProtection="1">
      <alignment horizontal="left" vertical="top" wrapText="1" readingOrder="1"/>
      <protection locked="0"/>
    </xf>
    <xf numFmtId="0" fontId="3" fillId="0" borderId="46" xfId="0" applyFont="1" applyFill="1" applyBorder="1" applyAlignment="1" applyProtection="1">
      <alignment horizontal="center" vertical="top" wrapText="1" readingOrder="1"/>
      <protection locked="0"/>
    </xf>
    <xf numFmtId="0" fontId="4" fillId="0" borderId="46" xfId="0" applyFont="1" applyFill="1" applyBorder="1" applyAlignment="1" applyProtection="1">
      <alignment horizontal="center" vertical="top" wrapText="1" readingOrder="1"/>
      <protection locked="0"/>
    </xf>
    <xf numFmtId="0" fontId="4" fillId="0" borderId="14" xfId="0" applyNumberFormat="1" applyFont="1" applyFill="1" applyBorder="1" applyAlignment="1" applyProtection="1">
      <alignment horizontal="center" vertical="top" wrapText="1" shrinkToFit="1"/>
      <protection locked="0"/>
    </xf>
    <xf numFmtId="191" fontId="4" fillId="0" borderId="41" xfId="0" applyNumberFormat="1" applyFont="1" applyFill="1" applyBorder="1" applyAlignment="1" applyProtection="1">
      <alignment vertical="top" wrapText="1" readingOrder="1"/>
      <protection locked="0"/>
    </xf>
    <xf numFmtId="191" fontId="5" fillId="0" borderId="41" xfId="0" applyNumberFormat="1" applyFont="1" applyFill="1" applyBorder="1" applyAlignment="1" applyProtection="1">
      <alignment vertical="top" wrapText="1" readingOrder="1"/>
      <protection locked="0"/>
    </xf>
    <xf numFmtId="191" fontId="5" fillId="0" borderId="23" xfId="0" applyNumberFormat="1" applyFont="1" applyFill="1" applyBorder="1" applyAlignment="1" applyProtection="1">
      <alignment vertical="top" wrapText="1" readingOrder="1"/>
      <protection locked="0"/>
    </xf>
    <xf numFmtId="191" fontId="5" fillId="0" borderId="14" xfId="0" applyNumberFormat="1" applyFont="1" applyFill="1" applyBorder="1" applyAlignment="1" applyProtection="1">
      <alignment vertical="top" wrapText="1" readingOrder="1"/>
      <protection locked="0"/>
    </xf>
    <xf numFmtId="0" fontId="4" fillId="0" borderId="12" xfId="0" applyFont="1" applyFill="1" applyBorder="1" applyAlignment="1" applyProtection="1">
      <alignment horizontal="left" vertical="top" wrapText="1" readingOrder="1"/>
      <protection locked="0"/>
    </xf>
    <xf numFmtId="0" fontId="3" fillId="0" borderId="12" xfId="0" applyNumberFormat="1" applyFont="1" applyFill="1" applyBorder="1" applyAlignment="1" applyProtection="1">
      <alignment horizontal="center" vertical="top" wrapText="1" shrinkToFit="1"/>
      <protection locked="0"/>
    </xf>
    <xf numFmtId="14" fontId="3" fillId="0" borderId="12" xfId="0" applyNumberFormat="1" applyFont="1" applyFill="1" applyBorder="1" applyAlignment="1" applyProtection="1">
      <alignment horizontal="center" vertical="top" wrapText="1" shrinkToFit="1"/>
      <protection locked="0"/>
    </xf>
    <xf numFmtId="49" fontId="3" fillId="0" borderId="12" xfId="0" applyNumberFormat="1" applyFont="1" applyFill="1" applyBorder="1" applyAlignment="1" applyProtection="1">
      <alignment horizontal="center" vertical="top" wrapText="1" readingOrder="1"/>
      <protection locked="0"/>
    </xf>
    <xf numFmtId="193" fontId="3" fillId="0" borderId="12" xfId="0" applyNumberFormat="1" applyFont="1" applyFill="1" applyBorder="1" applyAlignment="1" applyProtection="1">
      <alignment vertical="top" wrapText="1" readingOrder="1"/>
      <protection locked="0"/>
    </xf>
    <xf numFmtId="49" fontId="3" fillId="0" borderId="49" xfId="0" applyNumberFormat="1" applyFont="1" applyFill="1" applyBorder="1" applyAlignment="1" applyProtection="1">
      <alignment horizontal="center" vertical="top" wrapText="1" readingOrder="1"/>
      <protection locked="0"/>
    </xf>
    <xf numFmtId="49" fontId="3" fillId="0" borderId="50" xfId="0" applyNumberFormat="1" applyFont="1" applyFill="1" applyBorder="1" applyAlignment="1" applyProtection="1">
      <alignment horizontal="center" vertical="top" wrapText="1" readingOrder="1"/>
      <protection locked="0"/>
    </xf>
    <xf numFmtId="49" fontId="3" fillId="0" borderId="27" xfId="0" applyNumberFormat="1" applyFont="1" applyFill="1" applyBorder="1" applyAlignment="1" applyProtection="1">
      <alignment horizontal="center" vertical="top" wrapText="1" readingOrder="1"/>
      <protection locked="0"/>
    </xf>
    <xf numFmtId="49" fontId="3" fillId="0" borderId="39" xfId="0" applyNumberFormat="1" applyFont="1" applyFill="1" applyBorder="1" applyAlignment="1" applyProtection="1">
      <alignment horizontal="center" vertical="top" wrapText="1" readingOrder="1"/>
      <protection locked="0"/>
    </xf>
    <xf numFmtId="4" fontId="3" fillId="0" borderId="12" xfId="0" applyNumberFormat="1" applyFont="1" applyFill="1" applyBorder="1" applyAlignment="1" applyProtection="1">
      <alignment horizontal="right" vertical="top" wrapText="1" readingOrder="1"/>
      <protection locked="0"/>
    </xf>
    <xf numFmtId="49" fontId="3" fillId="0" borderId="30" xfId="0" applyNumberFormat="1" applyFont="1" applyFill="1" applyBorder="1" applyAlignment="1" applyProtection="1">
      <alignment horizontal="center" vertical="top" wrapText="1" readingOrder="1"/>
      <protection locked="0"/>
    </xf>
    <xf numFmtId="193" fontId="4" fillId="0" borderId="12" xfId="0" applyNumberFormat="1" applyFont="1" applyFill="1" applyBorder="1" applyAlignment="1" applyProtection="1">
      <alignment vertical="top" wrapText="1" readingOrder="1"/>
      <protection locked="0"/>
    </xf>
    <xf numFmtId="0" fontId="3" fillId="0" borderId="12" xfId="0" applyNumberFormat="1" applyFont="1" applyFill="1" applyBorder="1" applyAlignment="1" applyProtection="1">
      <alignment horizontal="center" vertical="center" wrapText="1" shrinkToFit="1"/>
      <protection locked="0"/>
    </xf>
    <xf numFmtId="14" fontId="3" fillId="0" borderId="12" xfId="0" applyNumberFormat="1" applyFont="1" applyFill="1" applyBorder="1" applyAlignment="1" applyProtection="1">
      <alignment horizontal="center" vertical="center" wrapText="1" shrinkToFit="1"/>
      <protection locked="0"/>
    </xf>
    <xf numFmtId="191" fontId="4" fillId="0" borderId="12" xfId="0" applyNumberFormat="1" applyFont="1" applyFill="1" applyBorder="1" applyAlignment="1" applyProtection="1">
      <alignment vertical="top" wrapText="1" readingOrder="1"/>
      <protection locked="0"/>
    </xf>
    <xf numFmtId="191" fontId="3" fillId="0" borderId="12" xfId="0" applyNumberFormat="1" applyFont="1" applyFill="1" applyBorder="1" applyAlignment="1" applyProtection="1">
      <alignment vertical="top" wrapText="1" readingOrder="1"/>
      <protection locked="0"/>
    </xf>
    <xf numFmtId="191" fontId="4" fillId="0" borderId="47" xfId="0" applyNumberFormat="1" applyFont="1" applyFill="1" applyBorder="1" applyAlignment="1" applyProtection="1">
      <alignment vertical="top" wrapText="1" readingOrder="1"/>
      <protection locked="0"/>
    </xf>
    <xf numFmtId="0" fontId="3" fillId="0" borderId="20" xfId="0" applyNumberFormat="1" applyFont="1" applyFill="1" applyBorder="1" applyAlignment="1" applyProtection="1">
      <alignment horizontal="center" vertical="center" wrapText="1" shrinkToFit="1"/>
      <protection locked="0"/>
    </xf>
    <xf numFmtId="14" fontId="3" fillId="0" borderId="20" xfId="0" applyNumberFormat="1" applyFont="1" applyFill="1" applyBorder="1" applyAlignment="1" applyProtection="1">
      <alignment horizontal="center" vertical="center" wrapText="1" shrinkToFit="1"/>
      <protection locked="0"/>
    </xf>
    <xf numFmtId="192" fontId="4" fillId="0" borderId="10" xfId="0" applyNumberFormat="1" applyFont="1" applyFill="1" applyBorder="1" applyAlignment="1" applyProtection="1">
      <alignment vertical="top" wrapText="1" readingOrder="1"/>
      <protection locked="0"/>
    </xf>
    <xf numFmtId="14" fontId="2" fillId="0" borderId="12" xfId="0" applyNumberFormat="1" applyFont="1" applyFill="1" applyBorder="1" applyAlignment="1" applyProtection="1">
      <alignment horizontal="center" vertical="center" wrapText="1" shrinkToFit="1"/>
      <protection locked="0"/>
    </xf>
    <xf numFmtId="192" fontId="4" fillId="0" borderId="12" xfId="0" applyNumberFormat="1" applyFont="1" applyFill="1" applyBorder="1" applyAlignment="1" applyProtection="1">
      <alignment vertical="top" wrapText="1" readingOrder="1"/>
      <protection locked="0"/>
    </xf>
    <xf numFmtId="192" fontId="3" fillId="0" borderId="47" xfId="0" applyNumberFormat="1" applyFont="1" applyFill="1" applyBorder="1" applyAlignment="1" applyProtection="1">
      <alignment vertical="top" wrapText="1" readingOrder="1"/>
      <protection locked="0"/>
    </xf>
    <xf numFmtId="0" fontId="2" fillId="0" borderId="20" xfId="0" applyNumberFormat="1" applyFont="1" applyFill="1" applyBorder="1" applyAlignment="1" applyProtection="1">
      <alignment horizontal="center" vertical="center" wrapText="1" shrinkToFit="1"/>
      <protection locked="0"/>
    </xf>
    <xf numFmtId="14" fontId="2" fillId="0" borderId="20" xfId="0" applyNumberFormat="1" applyFont="1" applyFill="1" applyBorder="1" applyAlignment="1" applyProtection="1">
      <alignment horizontal="center" vertical="center" wrapText="1" shrinkToFit="1"/>
      <protection locked="0"/>
    </xf>
    <xf numFmtId="192" fontId="4" fillId="0" borderId="20" xfId="0" applyNumberFormat="1" applyFont="1" applyFill="1" applyBorder="1" applyAlignment="1" applyProtection="1">
      <alignment vertical="top" wrapText="1" readingOrder="1"/>
      <protection locked="0"/>
    </xf>
    <xf numFmtId="193" fontId="4" fillId="0" borderId="10" xfId="0" applyNumberFormat="1" applyFont="1" applyFill="1" applyBorder="1" applyAlignment="1" applyProtection="1">
      <alignment vertical="top" wrapText="1" readingOrder="1"/>
      <protection locked="0"/>
    </xf>
    <xf numFmtId="0" fontId="6" fillId="0" borderId="12" xfId="0" applyNumberFormat="1" applyFont="1" applyFill="1" applyBorder="1" applyAlignment="1" applyProtection="1">
      <alignment horizontal="center" vertical="top" wrapText="1" shrinkToFit="1"/>
      <protection locked="0"/>
    </xf>
    <xf numFmtId="0" fontId="4" fillId="0" borderId="12" xfId="0" applyNumberFormat="1" applyFont="1" applyFill="1" applyBorder="1" applyAlignment="1" applyProtection="1">
      <alignment horizontal="center" vertical="top" wrapText="1" shrinkToFit="1"/>
      <protection locked="0"/>
    </xf>
    <xf numFmtId="14" fontId="4" fillId="0" borderId="12" xfId="0" applyNumberFormat="1" applyFont="1" applyFill="1" applyBorder="1" applyAlignment="1" applyProtection="1">
      <alignment horizontal="center" vertical="top" wrapText="1" shrinkToFit="1"/>
      <protection locked="0"/>
    </xf>
    <xf numFmtId="0" fontId="6" fillId="0" borderId="20" xfId="0" applyNumberFormat="1" applyFont="1" applyFill="1" applyBorder="1" applyAlignment="1" applyProtection="1">
      <alignment horizontal="center" vertical="top" wrapText="1" shrinkToFit="1"/>
      <protection locked="0"/>
    </xf>
    <xf numFmtId="0" fontId="4" fillId="0" borderId="29" xfId="0" applyNumberFormat="1" applyFont="1" applyFill="1" applyBorder="1" applyAlignment="1" applyProtection="1">
      <alignment horizontal="center" vertical="top" wrapText="1" shrinkToFit="1"/>
      <protection locked="0"/>
    </xf>
    <xf numFmtId="14" fontId="4" fillId="0" borderId="14" xfId="0" applyNumberFormat="1" applyFont="1" applyFill="1" applyBorder="1" applyAlignment="1" applyProtection="1">
      <alignment horizontal="center" vertical="top" wrapText="1" shrinkToFit="1"/>
      <protection locked="0"/>
    </xf>
    <xf numFmtId="0" fontId="4" fillId="0" borderId="51" xfId="0" applyFont="1" applyFill="1" applyBorder="1" applyAlignment="1" applyProtection="1">
      <alignment horizontal="center" vertical="top" wrapText="1" readingOrder="1"/>
      <protection locked="0"/>
    </xf>
    <xf numFmtId="0" fontId="4" fillId="0" borderId="52" xfId="0" applyFont="1" applyFill="1" applyBorder="1" applyAlignment="1" applyProtection="1">
      <alignment horizontal="center" vertical="top" wrapText="1" readingOrder="1"/>
      <protection locked="0"/>
    </xf>
    <xf numFmtId="191" fontId="4" fillId="0" borderId="51" xfId="0" applyNumberFormat="1" applyFont="1" applyFill="1" applyBorder="1" applyAlignment="1" applyProtection="1">
      <alignment vertical="top" wrapText="1" readingOrder="1"/>
      <protection locked="0"/>
    </xf>
    <xf numFmtId="0" fontId="4" fillId="0" borderId="21" xfId="0" applyFont="1" applyFill="1" applyBorder="1" applyAlignment="1" applyProtection="1">
      <alignment horizontal="center" vertical="top" wrapText="1" readingOrder="1"/>
      <protection locked="0"/>
    </xf>
    <xf numFmtId="0" fontId="4" fillId="0" borderId="12" xfId="52" applyNumberFormat="1" applyFont="1" applyFill="1" applyBorder="1" applyAlignment="1">
      <alignment horizontal="center" vertical="top" wrapText="1"/>
      <protection/>
    </xf>
    <xf numFmtId="14" fontId="6" fillId="0" borderId="20" xfId="0" applyNumberFormat="1" applyFont="1" applyFill="1" applyBorder="1" applyAlignment="1" applyProtection="1">
      <alignment horizontal="center" vertical="top" wrapText="1" shrinkToFit="1"/>
      <protection locked="0"/>
    </xf>
    <xf numFmtId="49" fontId="3" fillId="0" borderId="53" xfId="0" applyNumberFormat="1" applyFont="1" applyFill="1" applyBorder="1" applyAlignment="1" applyProtection="1">
      <alignment horizontal="center" vertical="top" wrapText="1" readingOrder="1"/>
      <protection locked="0"/>
    </xf>
    <xf numFmtId="0" fontId="6" fillId="0" borderId="11" xfId="0" applyNumberFormat="1" applyFont="1" applyFill="1" applyBorder="1" applyAlignment="1" applyProtection="1">
      <alignment horizontal="center" vertical="top" wrapText="1" shrinkToFit="1"/>
      <protection locked="0"/>
    </xf>
    <xf numFmtId="14" fontId="6" fillId="0" borderId="11" xfId="0" applyNumberFormat="1" applyFont="1" applyFill="1" applyBorder="1" applyAlignment="1" applyProtection="1">
      <alignment horizontal="center" vertical="top" wrapText="1" shrinkToFit="1"/>
      <protection locked="0"/>
    </xf>
    <xf numFmtId="0" fontId="4" fillId="0" borderId="11" xfId="0" applyNumberFormat="1" applyFont="1" applyFill="1" applyBorder="1" applyAlignment="1" applyProtection="1">
      <alignment horizontal="center" vertical="top" wrapText="1" shrinkToFit="1"/>
      <protection locked="0"/>
    </xf>
    <xf numFmtId="0" fontId="3" fillId="0" borderId="21" xfId="0" applyFont="1" applyFill="1" applyBorder="1" applyAlignment="1" applyProtection="1">
      <alignment horizontal="center" vertical="top" wrapText="1" readingOrder="1"/>
      <protection locked="0"/>
    </xf>
    <xf numFmtId="0" fontId="3" fillId="0" borderId="43" xfId="0" applyFont="1" applyFill="1" applyBorder="1" applyAlignment="1" applyProtection="1">
      <alignment horizontal="center" vertical="top" wrapText="1" readingOrder="1"/>
      <protection locked="0"/>
    </xf>
    <xf numFmtId="191" fontId="3" fillId="0" borderId="15" xfId="0" applyNumberFormat="1" applyFont="1" applyFill="1" applyBorder="1" applyAlignment="1" applyProtection="1">
      <alignment vertical="top" wrapText="1" readingOrder="1"/>
      <protection locked="0"/>
    </xf>
    <xf numFmtId="4" fontId="3" fillId="0" borderId="14" xfId="0" applyNumberFormat="1" applyFont="1" applyFill="1" applyBorder="1" applyAlignment="1" applyProtection="1">
      <alignment vertical="top" wrapText="1" readingOrder="1"/>
      <protection locked="0"/>
    </xf>
    <xf numFmtId="191" fontId="3" fillId="0" borderId="46" xfId="0" applyNumberFormat="1" applyFont="1" applyFill="1" applyBorder="1" applyAlignment="1" applyProtection="1">
      <alignment vertical="top" wrapText="1" readingOrder="1"/>
      <protection locked="0"/>
    </xf>
    <xf numFmtId="191" fontId="3" fillId="0" borderId="54" xfId="0" applyNumberFormat="1" applyFont="1" applyFill="1" applyBorder="1" applyAlignment="1" applyProtection="1">
      <alignment vertical="top" wrapText="1" readingOrder="1"/>
      <protection locked="0"/>
    </xf>
    <xf numFmtId="193" fontId="3" fillId="0" borderId="47" xfId="0" applyNumberFormat="1" applyFont="1" applyFill="1" applyBorder="1" applyAlignment="1" applyProtection="1">
      <alignment vertical="top" wrapText="1" readingOrder="1"/>
      <protection locked="0"/>
    </xf>
    <xf numFmtId="193" fontId="3" fillId="0" borderId="46" xfId="0" applyNumberFormat="1" applyFont="1" applyFill="1" applyBorder="1" applyAlignment="1" applyProtection="1">
      <alignment vertical="top" wrapText="1" readingOrder="1"/>
      <protection locked="0"/>
    </xf>
    <xf numFmtId="193" fontId="3" fillId="0" borderId="54" xfId="0" applyNumberFormat="1" applyFont="1" applyFill="1" applyBorder="1" applyAlignment="1" applyProtection="1">
      <alignment vertical="top" wrapText="1" readingOrder="1"/>
      <protection locked="0"/>
    </xf>
    <xf numFmtId="0" fontId="2" fillId="0" borderId="55" xfId="0" applyNumberFormat="1" applyFont="1" applyFill="1" applyBorder="1" applyAlignment="1" applyProtection="1">
      <alignment horizontal="center" vertical="center" wrapText="1" shrinkToFit="1"/>
      <protection locked="0"/>
    </xf>
    <xf numFmtId="0" fontId="2" fillId="0" borderId="13" xfId="0" applyNumberFormat="1" applyFont="1" applyFill="1" applyBorder="1" applyAlignment="1" applyProtection="1">
      <alignment horizontal="center" vertical="center" wrapText="1" shrinkToFit="1"/>
      <protection locked="0"/>
    </xf>
    <xf numFmtId="0" fontId="2" fillId="0" borderId="56" xfId="0" applyNumberFormat="1" applyFont="1" applyFill="1" applyBorder="1" applyAlignment="1" applyProtection="1">
      <alignment horizontal="center" vertical="center" wrapText="1" shrinkToFit="1"/>
      <protection locked="0"/>
    </xf>
    <xf numFmtId="0" fontId="3" fillId="0" borderId="32" xfId="0" applyFont="1" applyFill="1" applyBorder="1" applyAlignment="1" applyProtection="1">
      <alignment vertical="top" wrapText="1" readingOrder="1"/>
      <protection locked="0"/>
    </xf>
    <xf numFmtId="0" fontId="3" fillId="0" borderId="32" xfId="0" applyFont="1" applyFill="1" applyBorder="1" applyAlignment="1">
      <alignment horizontal="center" vertical="top"/>
    </xf>
    <xf numFmtId="0" fontId="2" fillId="0" borderId="19" xfId="0" applyNumberFormat="1" applyFont="1" applyFill="1" applyBorder="1" applyAlignment="1" applyProtection="1">
      <alignment vertical="top" wrapText="1" shrinkToFit="1"/>
      <protection locked="0"/>
    </xf>
    <xf numFmtId="0" fontId="2" fillId="0" borderId="10" xfId="0" applyNumberFormat="1" applyFont="1" applyFill="1" applyBorder="1" applyAlignment="1" applyProtection="1">
      <alignment vertical="top" wrapText="1" shrinkToFit="1"/>
      <protection locked="0"/>
    </xf>
    <xf numFmtId="0" fontId="2" fillId="0" borderId="17" xfId="0" applyNumberFormat="1" applyFont="1" applyFill="1" applyBorder="1" applyAlignment="1" applyProtection="1">
      <alignment vertical="top" wrapText="1" shrinkToFit="1"/>
      <protection locked="0"/>
    </xf>
    <xf numFmtId="0" fontId="2" fillId="0" borderId="10" xfId="0" applyNumberFormat="1" applyFont="1" applyFill="1" applyBorder="1" applyAlignment="1" applyProtection="1">
      <alignment vertical="top" wrapText="1" shrinkToFit="1"/>
      <protection locked="0"/>
    </xf>
    <xf numFmtId="0" fontId="2" fillId="0" borderId="27" xfId="0" applyNumberFormat="1" applyFont="1" applyFill="1" applyBorder="1" applyAlignment="1" applyProtection="1">
      <alignment vertical="top" wrapText="1" shrinkToFit="1"/>
      <protection locked="0"/>
    </xf>
    <xf numFmtId="0" fontId="2" fillId="0" borderId="14" xfId="0" applyNumberFormat="1" applyFont="1" applyFill="1" applyBorder="1" applyAlignment="1" applyProtection="1">
      <alignment horizontal="center" vertical="top" wrapText="1"/>
      <protection/>
    </xf>
    <xf numFmtId="193" fontId="4" fillId="0" borderId="20" xfId="0" applyNumberFormat="1" applyFont="1" applyFill="1" applyBorder="1" applyAlignment="1" applyProtection="1">
      <alignment vertical="top" wrapText="1" readingOrder="1"/>
      <protection locked="0"/>
    </xf>
    <xf numFmtId="193" fontId="4" fillId="0" borderId="16" xfId="0" applyNumberFormat="1" applyFont="1" applyFill="1" applyBorder="1" applyAlignment="1" applyProtection="1">
      <alignment vertical="top" wrapText="1" readingOrder="1"/>
      <protection locked="0"/>
    </xf>
    <xf numFmtId="0" fontId="14" fillId="0" borderId="10" xfId="0" applyFont="1" applyFill="1" applyBorder="1" applyAlignment="1" applyProtection="1">
      <alignment vertical="top" wrapText="1" readingOrder="1"/>
      <protection locked="0"/>
    </xf>
    <xf numFmtId="0" fontId="14" fillId="0" borderId="13" xfId="0" applyFont="1" applyFill="1" applyBorder="1" applyAlignment="1" applyProtection="1">
      <alignment vertical="top" wrapText="1" readingOrder="1"/>
      <protection locked="0"/>
    </xf>
    <xf numFmtId="0" fontId="3" fillId="0" borderId="32" xfId="0" applyFont="1" applyFill="1" applyBorder="1" applyAlignment="1" applyProtection="1">
      <alignment horizontal="center" vertical="top" wrapText="1" readingOrder="1"/>
      <protection locked="0"/>
    </xf>
    <xf numFmtId="0" fontId="4" fillId="0" borderId="19" xfId="0" applyFont="1" applyFill="1" applyBorder="1" applyAlignment="1" applyProtection="1">
      <alignment horizontal="center" vertical="top" wrapText="1" readingOrder="1"/>
      <protection locked="0"/>
    </xf>
    <xf numFmtId="0" fontId="4" fillId="0" borderId="43" xfId="0" applyFont="1" applyFill="1" applyBorder="1" applyAlignment="1" applyProtection="1">
      <alignment horizontal="center" vertical="top" wrapText="1" readingOrder="1"/>
      <protection locked="0"/>
    </xf>
    <xf numFmtId="0" fontId="1" fillId="0" borderId="22" xfId="0" applyFont="1" applyFill="1" applyBorder="1" applyAlignment="1">
      <alignment horizontal="center" vertical="top"/>
    </xf>
    <xf numFmtId="0" fontId="1" fillId="0" borderId="0" xfId="0" applyFont="1" applyFill="1" applyAlignment="1">
      <alignment horizontal="center" vertical="top"/>
    </xf>
    <xf numFmtId="0" fontId="8" fillId="0" borderId="0" xfId="0" applyFont="1" applyFill="1" applyAlignment="1">
      <alignment horizontal="center" vertical="top"/>
    </xf>
    <xf numFmtId="0" fontId="14" fillId="0" borderId="27" xfId="0" applyFont="1" applyFill="1" applyBorder="1" applyAlignment="1" applyProtection="1">
      <alignment vertical="top" wrapText="1" readingOrder="1"/>
      <protection locked="0"/>
    </xf>
    <xf numFmtId="0" fontId="3" fillId="0" borderId="10" xfId="0" applyFont="1" applyFill="1" applyBorder="1" applyAlignment="1" applyProtection="1">
      <alignment vertical="top" wrapText="1"/>
      <protection locked="0"/>
    </xf>
    <xf numFmtId="0" fontId="2" fillId="0" borderId="27" xfId="0" applyNumberFormat="1" applyFont="1" applyFill="1" applyBorder="1" applyAlignment="1" applyProtection="1">
      <alignment horizontal="center" vertical="top" wrapText="1" shrinkToFit="1"/>
      <protection locked="0"/>
    </xf>
    <xf numFmtId="0" fontId="2" fillId="0" borderId="10" xfId="0" applyNumberFormat="1" applyFont="1" applyFill="1" applyBorder="1" applyAlignment="1" applyProtection="1">
      <alignment horizontal="center" vertical="top" wrapText="1"/>
      <protection/>
    </xf>
    <xf numFmtId="0" fontId="52" fillId="0" borderId="27" xfId="0" applyFont="1" applyFill="1" applyBorder="1" applyAlignment="1" applyProtection="1">
      <alignment vertical="top" wrapText="1" readingOrder="1"/>
      <protection locked="0"/>
    </xf>
    <xf numFmtId="0" fontId="2" fillId="0" borderId="26" xfId="0" applyNumberFormat="1" applyFont="1" applyFill="1" applyBorder="1" applyAlignment="1" applyProtection="1">
      <alignment horizontal="center" vertical="top" wrapText="1" shrinkToFit="1"/>
      <protection locked="0"/>
    </xf>
    <xf numFmtId="0" fontId="3" fillId="0" borderId="11" xfId="0" applyNumberFormat="1" applyFont="1" applyFill="1" applyBorder="1" applyAlignment="1" applyProtection="1">
      <alignment horizontal="center" vertical="top" wrapText="1" readingOrder="1"/>
      <protection locked="0"/>
    </xf>
    <xf numFmtId="0" fontId="2" fillId="0" borderId="23" xfId="0" applyNumberFormat="1" applyFont="1" applyFill="1" applyBorder="1" applyAlignment="1" applyProtection="1">
      <alignment horizontal="center" vertical="top" wrapText="1" shrinkToFit="1"/>
      <protection locked="0"/>
    </xf>
    <xf numFmtId="0" fontId="2" fillId="0" borderId="30" xfId="0" applyNumberFormat="1" applyFont="1" applyFill="1" applyBorder="1" applyAlignment="1" applyProtection="1">
      <alignment horizontal="center" vertical="top" wrapText="1" shrinkToFit="1"/>
      <protection locked="0"/>
    </xf>
    <xf numFmtId="0" fontId="2" fillId="0" borderId="20" xfId="0" applyNumberFormat="1" applyFont="1" applyFill="1" applyBorder="1" applyAlignment="1" applyProtection="1">
      <alignment horizontal="center" vertical="top" wrapText="1" shrinkToFit="1"/>
      <protection locked="0"/>
    </xf>
    <xf numFmtId="0" fontId="2" fillId="0" borderId="10" xfId="0" applyNumberFormat="1" applyFont="1" applyFill="1" applyBorder="1" applyAlignment="1" applyProtection="1">
      <alignment horizontal="center" vertical="center" wrapText="1" shrinkToFit="1"/>
      <protection locked="0"/>
    </xf>
    <xf numFmtId="0" fontId="2" fillId="0" borderId="10" xfId="0" applyNumberFormat="1" applyFont="1" applyFill="1" applyBorder="1" applyAlignment="1" applyProtection="1">
      <alignment horizontal="center" vertical="top" wrapText="1" shrinkToFit="1"/>
      <protection locked="0"/>
    </xf>
    <xf numFmtId="0" fontId="2" fillId="0" borderId="23" xfId="0" applyNumberFormat="1" applyFont="1" applyFill="1" applyBorder="1" applyAlignment="1" applyProtection="1">
      <alignment horizontal="center" vertical="top" wrapText="1" shrinkToFit="1"/>
      <protection locked="0"/>
    </xf>
    <xf numFmtId="0" fontId="3" fillId="0" borderId="10" xfId="0" applyFont="1" applyFill="1" applyBorder="1" applyAlignment="1">
      <alignment horizontal="center" vertical="top"/>
    </xf>
    <xf numFmtId="0" fontId="2" fillId="0" borderId="32" xfId="0" applyNumberFormat="1" applyFont="1" applyFill="1" applyBorder="1" applyAlignment="1" applyProtection="1">
      <alignment horizontal="center" vertical="top" wrapText="1" shrinkToFit="1"/>
      <protection locked="0"/>
    </xf>
    <xf numFmtId="0" fontId="3" fillId="0" borderId="10" xfId="0" applyNumberFormat="1" applyFont="1" applyFill="1" applyBorder="1" applyAlignment="1" applyProtection="1">
      <alignment vertical="top" wrapText="1" shrinkToFit="1"/>
      <protection locked="0"/>
    </xf>
    <xf numFmtId="0" fontId="3" fillId="0" borderId="27" xfId="0" applyNumberFormat="1" applyFont="1" applyFill="1" applyBorder="1" applyAlignment="1" applyProtection="1">
      <alignment horizontal="center" vertical="top" wrapText="1" shrinkToFit="1"/>
      <protection locked="0"/>
    </xf>
    <xf numFmtId="0" fontId="3" fillId="0" borderId="21" xfId="0" applyNumberFormat="1" applyFont="1" applyFill="1" applyBorder="1" applyAlignment="1" applyProtection="1">
      <alignment horizontal="center" vertical="top" wrapText="1" shrinkToFit="1"/>
      <protection locked="0"/>
    </xf>
    <xf numFmtId="0" fontId="3" fillId="0" borderId="30" xfId="0" applyNumberFormat="1" applyFont="1" applyFill="1" applyBorder="1" applyAlignment="1" applyProtection="1">
      <alignment horizontal="center" vertical="top" wrapText="1" shrinkToFit="1"/>
      <protection locked="0"/>
    </xf>
    <xf numFmtId="0" fontId="2" fillId="0" borderId="54" xfId="0" applyNumberFormat="1" applyFont="1" applyFill="1" applyBorder="1" applyAlignment="1" applyProtection="1">
      <alignment horizontal="center" vertical="top" wrapText="1" shrinkToFit="1"/>
      <protection locked="0"/>
    </xf>
    <xf numFmtId="14" fontId="2" fillId="0" borderId="11" xfId="0" applyNumberFormat="1" applyFont="1" applyFill="1" applyBorder="1" applyAlignment="1" applyProtection="1">
      <alignment horizontal="center" vertical="top" wrapText="1"/>
      <protection/>
    </xf>
    <xf numFmtId="0" fontId="3" fillId="0" borderId="19" xfId="52" applyNumberFormat="1" applyFont="1" applyFill="1" applyBorder="1" applyAlignment="1">
      <alignment horizontal="center" vertical="top" wrapText="1"/>
      <protection/>
    </xf>
    <xf numFmtId="14" fontId="3" fillId="0" borderId="18" xfId="0" applyNumberFormat="1" applyFont="1" applyFill="1" applyBorder="1" applyAlignment="1" applyProtection="1">
      <alignment horizontal="center" vertical="top" wrapText="1" shrinkToFit="1"/>
      <protection locked="0"/>
    </xf>
    <xf numFmtId="0" fontId="3" fillId="0" borderId="0" xfId="0" applyNumberFormat="1" applyFont="1" applyFill="1" applyBorder="1" applyAlignment="1" applyProtection="1">
      <alignment horizontal="center" vertical="top" wrapText="1" shrinkToFit="1"/>
      <protection locked="0"/>
    </xf>
    <xf numFmtId="0" fontId="2" fillId="0" borderId="15" xfId="0" applyNumberFormat="1" applyFont="1" applyFill="1" applyBorder="1" applyAlignment="1" applyProtection="1">
      <alignment horizontal="center" vertical="center" wrapText="1" shrinkToFit="1"/>
      <protection locked="0"/>
    </xf>
    <xf numFmtId="0" fontId="2" fillId="0" borderId="49" xfId="0" applyNumberFormat="1" applyFont="1" applyFill="1" applyBorder="1" applyAlignment="1" applyProtection="1">
      <alignment horizontal="center" vertical="center" wrapText="1" shrinkToFit="1"/>
      <protection locked="0"/>
    </xf>
    <xf numFmtId="0" fontId="2" fillId="0" borderId="10" xfId="0" applyNumberFormat="1" applyFont="1" applyFill="1" applyBorder="1" applyAlignment="1" applyProtection="1">
      <alignment vertical="center" wrapText="1" shrinkToFit="1"/>
      <protection locked="0"/>
    </xf>
    <xf numFmtId="0" fontId="2" fillId="0" borderId="17" xfId="0" applyNumberFormat="1" applyFont="1" applyFill="1" applyBorder="1" applyAlignment="1" applyProtection="1">
      <alignment vertical="center" wrapText="1" shrinkToFit="1"/>
      <protection locked="0"/>
    </xf>
    <xf numFmtId="14" fontId="3" fillId="0" borderId="11" xfId="0" applyNumberFormat="1" applyFont="1" applyFill="1" applyBorder="1" applyAlignment="1" applyProtection="1">
      <alignment horizontal="center" vertical="top" wrapText="1" readingOrder="1"/>
      <protection locked="0"/>
    </xf>
    <xf numFmtId="0" fontId="3" fillId="0" borderId="11" xfId="52" applyNumberFormat="1" applyFont="1" applyFill="1" applyBorder="1" applyAlignment="1">
      <alignment horizontal="center" vertical="top" wrapText="1"/>
      <protection/>
    </xf>
    <xf numFmtId="0" fontId="3" fillId="0" borderId="16" xfId="0" applyFont="1" applyFill="1" applyBorder="1" applyAlignment="1" applyProtection="1">
      <alignment horizontal="center" vertical="top" wrapText="1"/>
      <protection locked="0"/>
    </xf>
    <xf numFmtId="0" fontId="2" fillId="0" borderId="43" xfId="0" applyNumberFormat="1" applyFont="1" applyFill="1" applyBorder="1" applyAlignment="1" applyProtection="1">
      <alignment horizontal="center" vertical="top" wrapText="1" shrinkToFit="1"/>
      <protection locked="0"/>
    </xf>
    <xf numFmtId="14" fontId="2" fillId="0" borderId="15" xfId="0" applyNumberFormat="1" applyFont="1" applyFill="1" applyBorder="1" applyAlignment="1" applyProtection="1">
      <alignment horizontal="center" vertical="top" wrapText="1" shrinkToFit="1"/>
      <protection locked="0"/>
    </xf>
    <xf numFmtId="14" fontId="2" fillId="0" borderId="14" xfId="0" applyNumberFormat="1" applyFont="1" applyFill="1" applyBorder="1" applyAlignment="1" applyProtection="1">
      <alignment horizontal="center" vertical="top" wrapText="1" shrinkToFit="1"/>
      <protection locked="0"/>
    </xf>
    <xf numFmtId="0" fontId="2" fillId="0" borderId="46" xfId="0" applyNumberFormat="1" applyFont="1" applyFill="1" applyBorder="1" applyAlignment="1" applyProtection="1">
      <alignment horizontal="center" vertical="top" wrapText="1" shrinkToFit="1"/>
      <protection locked="0"/>
    </xf>
    <xf numFmtId="0" fontId="2" fillId="0" borderId="27" xfId="52" applyFont="1" applyFill="1" applyBorder="1" applyAlignment="1">
      <alignment horizontal="center" vertical="top" wrapText="1"/>
      <protection/>
    </xf>
    <xf numFmtId="0" fontId="3" fillId="0" borderId="20" xfId="52" applyNumberFormat="1" applyFont="1" applyFill="1" applyBorder="1" applyAlignment="1">
      <alignment horizontal="center" vertical="top" wrapText="1"/>
      <protection/>
    </xf>
    <xf numFmtId="14" fontId="2" fillId="0" borderId="11" xfId="0" applyNumberFormat="1" applyFont="1" applyFill="1" applyBorder="1" applyAlignment="1" applyProtection="1">
      <alignment vertical="top" wrapText="1" shrinkToFit="1"/>
      <protection locked="0"/>
    </xf>
    <xf numFmtId="0" fontId="3" fillId="0" borderId="48" xfId="0" applyNumberFormat="1" applyFont="1" applyFill="1" applyBorder="1" applyAlignment="1" applyProtection="1">
      <alignment horizontal="center" vertical="top" wrapText="1" shrinkToFit="1"/>
      <protection locked="0"/>
    </xf>
    <xf numFmtId="0" fontId="2" fillId="0" borderId="37" xfId="0" applyNumberFormat="1" applyFont="1" applyFill="1" applyBorder="1" applyAlignment="1" applyProtection="1">
      <alignment horizontal="center" vertical="center" wrapText="1" shrinkToFit="1"/>
      <protection locked="0"/>
    </xf>
    <xf numFmtId="0" fontId="2" fillId="0" borderId="57" xfId="0" applyNumberFormat="1" applyFont="1" applyFill="1" applyBorder="1" applyAlignment="1" applyProtection="1">
      <alignment horizontal="center" vertical="top" wrapText="1" shrinkToFit="1"/>
      <protection locked="0"/>
    </xf>
    <xf numFmtId="0" fontId="2" fillId="0" borderId="51" xfId="0" applyNumberFormat="1" applyFont="1" applyFill="1" applyBorder="1" applyAlignment="1" applyProtection="1">
      <alignment horizontal="center" vertical="top" wrapText="1" shrinkToFit="1"/>
      <protection locked="0"/>
    </xf>
    <xf numFmtId="14" fontId="2" fillId="0" borderId="51" xfId="0" applyNumberFormat="1" applyFont="1" applyFill="1" applyBorder="1" applyAlignment="1" applyProtection="1">
      <alignment horizontal="center" vertical="top" wrapText="1" shrinkToFit="1"/>
      <protection locked="0"/>
    </xf>
    <xf numFmtId="0" fontId="2" fillId="0" borderId="47" xfId="0" applyNumberFormat="1" applyFont="1" applyFill="1" applyBorder="1" applyAlignment="1" applyProtection="1">
      <alignment horizontal="center" vertical="top" wrapText="1" shrinkToFit="1"/>
      <protection locked="0"/>
    </xf>
    <xf numFmtId="0" fontId="2" fillId="0" borderId="41" xfId="0" applyNumberFormat="1" applyFont="1" applyFill="1" applyBorder="1" applyAlignment="1" applyProtection="1">
      <alignment horizontal="center" vertical="top" wrapText="1" shrinkToFit="1"/>
      <protection locked="0"/>
    </xf>
    <xf numFmtId="0" fontId="2" fillId="0" borderId="58" xfId="0" applyNumberFormat="1" applyFont="1" applyFill="1" applyBorder="1" applyAlignment="1" applyProtection="1">
      <alignment horizontal="center" vertical="top" wrapText="1" shrinkToFit="1"/>
      <protection locked="0"/>
    </xf>
    <xf numFmtId="14" fontId="2" fillId="0" borderId="41" xfId="0" applyNumberFormat="1" applyFont="1" applyFill="1" applyBorder="1" applyAlignment="1" applyProtection="1">
      <alignment horizontal="center" vertical="top" wrapText="1" shrinkToFit="1"/>
      <protection locked="0"/>
    </xf>
    <xf numFmtId="14" fontId="2" fillId="0" borderId="27" xfId="0" applyNumberFormat="1" applyFont="1" applyFill="1" applyBorder="1" applyAlignment="1" applyProtection="1">
      <alignment horizontal="center" vertical="top" wrapText="1" shrinkToFit="1"/>
      <protection locked="0"/>
    </xf>
    <xf numFmtId="14" fontId="2" fillId="0" borderId="28" xfId="0" applyNumberFormat="1" applyFont="1" applyFill="1" applyBorder="1" applyAlignment="1" applyProtection="1">
      <alignment horizontal="center" vertical="top" wrapText="1" shrinkToFit="1"/>
      <protection locked="0"/>
    </xf>
    <xf numFmtId="0" fontId="2" fillId="0" borderId="12" xfId="0" applyNumberFormat="1" applyFont="1" applyFill="1" applyBorder="1" applyAlignment="1" applyProtection="1">
      <alignment horizontal="center" vertical="top" wrapText="1" shrinkToFit="1"/>
      <protection locked="0"/>
    </xf>
    <xf numFmtId="14" fontId="2" fillId="0" borderId="12" xfId="0" applyNumberFormat="1" applyFont="1" applyFill="1" applyBorder="1" applyAlignment="1" applyProtection="1">
      <alignment horizontal="center" vertical="top" wrapText="1" shrinkToFit="1"/>
      <protection locked="0"/>
    </xf>
    <xf numFmtId="0" fontId="3" fillId="0" borderId="41" xfId="0" applyNumberFormat="1" applyFont="1" applyFill="1" applyBorder="1" applyAlignment="1" applyProtection="1">
      <alignment horizontal="center" vertical="top" wrapText="1" shrinkToFit="1"/>
      <protection locked="0"/>
    </xf>
    <xf numFmtId="14" fontId="3" fillId="0" borderId="58" xfId="0" applyNumberFormat="1" applyFont="1" applyFill="1" applyBorder="1" applyAlignment="1" applyProtection="1">
      <alignment horizontal="center" vertical="top" wrapText="1" shrinkToFit="1"/>
      <protection locked="0"/>
    </xf>
    <xf numFmtId="0" fontId="2" fillId="0" borderId="21" xfId="0" applyNumberFormat="1" applyFont="1" applyFill="1" applyBorder="1" applyAlignment="1" applyProtection="1">
      <alignment horizontal="center" vertical="top" wrapText="1" shrinkToFit="1"/>
      <protection locked="0"/>
    </xf>
    <xf numFmtId="14" fontId="2" fillId="0" borderId="17" xfId="0" applyNumberFormat="1" applyFont="1" applyFill="1" applyBorder="1" applyAlignment="1" applyProtection="1">
      <alignment horizontal="center" vertical="top" wrapText="1" shrinkToFit="1"/>
      <protection locked="0"/>
    </xf>
    <xf numFmtId="14" fontId="3" fillId="0" borderId="15" xfId="0" applyNumberFormat="1" applyFont="1" applyFill="1" applyBorder="1" applyAlignment="1" applyProtection="1">
      <alignment horizontal="center" vertical="top" wrapText="1" shrinkToFit="1"/>
      <protection locked="0"/>
    </xf>
    <xf numFmtId="0" fontId="2" fillId="0" borderId="14" xfId="52" applyNumberFormat="1" applyFont="1" applyFill="1" applyBorder="1" applyAlignment="1">
      <alignment horizontal="center" vertical="top" wrapText="1"/>
      <protection/>
    </xf>
    <xf numFmtId="0" fontId="15" fillId="0" borderId="15" xfId="0" applyFont="1" applyFill="1" applyBorder="1" applyAlignment="1">
      <alignment horizontal="center" vertical="center" wrapText="1"/>
    </xf>
    <xf numFmtId="0" fontId="2" fillId="0" borderId="20" xfId="52" applyNumberFormat="1" applyFont="1" applyFill="1" applyBorder="1" applyAlignment="1">
      <alignment horizontal="center" vertical="top" wrapText="1"/>
      <protection/>
    </xf>
    <xf numFmtId="0" fontId="2" fillId="0" borderId="16" xfId="52" applyNumberFormat="1" applyFont="1" applyFill="1" applyBorder="1" applyAlignment="1">
      <alignment horizontal="center" vertical="top" wrapText="1"/>
      <protection/>
    </xf>
    <xf numFmtId="0" fontId="3" fillId="0" borderId="46" xfId="0" applyNumberFormat="1" applyFont="1" applyFill="1" applyBorder="1" applyAlignment="1" applyProtection="1">
      <alignment horizontal="center" vertical="top" wrapText="1" shrinkToFit="1"/>
      <protection locked="0"/>
    </xf>
    <xf numFmtId="0" fontId="15" fillId="0" borderId="10"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shrinkToFit="1"/>
      <protection locked="0"/>
    </xf>
    <xf numFmtId="0" fontId="3" fillId="0" borderId="13" xfId="0" applyNumberFormat="1" applyFont="1" applyFill="1" applyBorder="1" applyAlignment="1" applyProtection="1">
      <alignment horizontal="center" vertical="center" wrapText="1" shrinkToFit="1"/>
      <protection locked="0"/>
    </xf>
    <xf numFmtId="0" fontId="3" fillId="0" borderId="49" xfId="0" applyNumberFormat="1" applyFont="1" applyFill="1" applyBorder="1" applyAlignment="1" applyProtection="1">
      <alignment horizontal="center" vertical="top" wrapText="1" shrinkToFit="1"/>
      <protection locked="0"/>
    </xf>
    <xf numFmtId="0" fontId="3" fillId="0" borderId="27" xfId="0" applyFont="1" applyFill="1" applyBorder="1" applyAlignment="1" applyProtection="1">
      <alignment vertical="top" wrapText="1" readingOrder="1"/>
      <protection locked="0"/>
    </xf>
    <xf numFmtId="0" fontId="3" fillId="0" borderId="16" xfId="0" applyFont="1" applyFill="1" applyBorder="1" applyAlignment="1" applyProtection="1">
      <alignment horizontal="left" vertical="top" wrapText="1" readingOrder="1"/>
      <protection locked="0"/>
    </xf>
    <xf numFmtId="49" fontId="9" fillId="0" borderId="36"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14" fontId="3" fillId="0" borderId="25" xfId="0" applyNumberFormat="1" applyFont="1" applyFill="1" applyBorder="1" applyAlignment="1" applyProtection="1">
      <alignment horizontal="center" vertical="top" wrapText="1" shrinkToFit="1"/>
      <protection locked="0"/>
    </xf>
    <xf numFmtId="193" fontId="4" fillId="0" borderId="27" xfId="0" applyNumberFormat="1" applyFont="1" applyFill="1" applyBorder="1" applyAlignment="1" applyProtection="1">
      <alignment vertical="top" wrapText="1" readingOrder="1"/>
      <protection locked="0"/>
    </xf>
    <xf numFmtId="0" fontId="3" fillId="0" borderId="0" xfId="0" applyFont="1" applyFill="1" applyBorder="1" applyAlignment="1" applyProtection="1">
      <alignment horizontal="left" vertical="top" wrapText="1" readingOrder="1"/>
      <protection locked="0"/>
    </xf>
    <xf numFmtId="0" fontId="2" fillId="0" borderId="0" xfId="0" applyNumberFormat="1" applyFont="1" applyFill="1" applyBorder="1" applyAlignment="1" applyProtection="1">
      <alignment horizontal="center" vertical="top" wrapText="1"/>
      <protection/>
    </xf>
    <xf numFmtId="0" fontId="2" fillId="0" borderId="25" xfId="0" applyNumberFormat="1" applyFont="1" applyFill="1" applyBorder="1" applyAlignment="1" applyProtection="1">
      <alignment horizontal="center" vertical="center" wrapText="1" shrinkToFit="1"/>
      <protection locked="0"/>
    </xf>
    <xf numFmtId="193" fontId="3" fillId="0" borderId="20" xfId="0" applyNumberFormat="1" applyFont="1" applyFill="1" applyBorder="1" applyAlignment="1" applyProtection="1">
      <alignment vertical="top" wrapText="1" readingOrder="1"/>
      <protection locked="0"/>
    </xf>
    <xf numFmtId="193" fontId="3" fillId="0" borderId="21" xfId="0" applyNumberFormat="1" applyFont="1" applyFill="1" applyBorder="1" applyAlignment="1" applyProtection="1">
      <alignment vertical="top" wrapText="1" readingOrder="1"/>
      <protection locked="0"/>
    </xf>
    <xf numFmtId="4" fontId="3" fillId="0" borderId="15" xfId="0" applyNumberFormat="1" applyFont="1" applyFill="1" applyBorder="1" applyAlignment="1" applyProtection="1">
      <alignment vertical="top" wrapText="1" readingOrder="1"/>
      <protection locked="0"/>
    </xf>
    <xf numFmtId="0" fontId="15" fillId="0" borderId="14" xfId="0" applyFont="1" applyFill="1" applyBorder="1" applyAlignment="1">
      <alignment horizontal="center" vertical="center" wrapText="1"/>
    </xf>
    <xf numFmtId="193" fontId="4" fillId="0" borderId="15" xfId="0" applyNumberFormat="1" applyFont="1" applyFill="1" applyBorder="1" applyAlignment="1" applyProtection="1">
      <alignment vertical="top" wrapText="1" readingOrder="1"/>
      <protection locked="0"/>
    </xf>
    <xf numFmtId="49" fontId="4" fillId="0" borderId="13" xfId="0" applyNumberFormat="1" applyFont="1" applyFill="1" applyBorder="1" applyAlignment="1" applyProtection="1">
      <alignment horizontal="center" vertical="top" wrapText="1" readingOrder="1"/>
      <protection locked="0"/>
    </xf>
    <xf numFmtId="193" fontId="4" fillId="0" borderId="13" xfId="0" applyNumberFormat="1" applyFont="1" applyFill="1" applyBorder="1" applyAlignment="1" applyProtection="1">
      <alignment vertical="top" wrapText="1" readingOrder="1"/>
      <protection locked="0"/>
    </xf>
    <xf numFmtId="191" fontId="4" fillId="0" borderId="24" xfId="0" applyNumberFormat="1" applyFont="1" applyFill="1" applyBorder="1" applyAlignment="1" applyProtection="1">
      <alignment vertical="top" wrapText="1" readingOrder="1"/>
      <protection locked="0"/>
    </xf>
    <xf numFmtId="0" fontId="2" fillId="0" borderId="11" xfId="0" applyNumberFormat="1" applyFont="1" applyFill="1" applyBorder="1" applyAlignment="1" applyProtection="1">
      <alignment horizontal="center" vertical="center" wrapText="1" shrinkToFit="1"/>
      <protection locked="0"/>
    </xf>
    <xf numFmtId="0" fontId="2" fillId="0" borderId="11" xfId="0" applyNumberFormat="1" applyFont="1" applyFill="1" applyBorder="1" applyAlignment="1" applyProtection="1">
      <alignment horizontal="center" vertical="top" wrapText="1" shrinkToFit="1"/>
      <protection locked="0"/>
    </xf>
    <xf numFmtId="0" fontId="4" fillId="0" borderId="32" xfId="0" applyFont="1" applyFill="1" applyBorder="1" applyAlignment="1" applyProtection="1">
      <alignment horizontal="left" vertical="top" wrapText="1" readingOrder="1"/>
      <protection locked="0"/>
    </xf>
    <xf numFmtId="49" fontId="3" fillId="0" borderId="32" xfId="0" applyNumberFormat="1" applyFont="1" applyFill="1" applyBorder="1" applyAlignment="1" applyProtection="1">
      <alignment horizontal="center" vertical="top" wrapText="1" readingOrder="1"/>
      <protection locked="0"/>
    </xf>
    <xf numFmtId="191" fontId="3" fillId="0" borderId="32" xfId="0" applyNumberFormat="1" applyFont="1" applyFill="1" applyBorder="1" applyAlignment="1" applyProtection="1">
      <alignment vertical="top" wrapText="1" readingOrder="1"/>
      <protection locked="0"/>
    </xf>
    <xf numFmtId="191" fontId="3" fillId="0" borderId="55" xfId="0" applyNumberFormat="1" applyFont="1" applyFill="1" applyBorder="1" applyAlignment="1" applyProtection="1">
      <alignment vertical="top" wrapText="1" readingOrder="1"/>
      <protection locked="0"/>
    </xf>
    <xf numFmtId="192" fontId="3" fillId="0" borderId="11" xfId="0" applyNumberFormat="1" applyFont="1" applyFill="1" applyBorder="1" applyAlignment="1" applyProtection="1">
      <alignment vertical="top" wrapText="1" readingOrder="1"/>
      <protection locked="0"/>
    </xf>
    <xf numFmtId="49" fontId="3" fillId="0" borderId="19" xfId="0" applyNumberFormat="1" applyFont="1" applyFill="1" applyBorder="1" applyAlignment="1" applyProtection="1">
      <alignment horizontal="center" vertical="top" wrapText="1" readingOrder="1"/>
      <protection locked="0"/>
    </xf>
    <xf numFmtId="0" fontId="52" fillId="0" borderId="10" xfId="0" applyFont="1" applyFill="1" applyBorder="1" applyAlignment="1" applyProtection="1">
      <alignment horizontal="center" vertical="top" wrapText="1" readingOrder="1"/>
      <protection locked="0"/>
    </xf>
    <xf numFmtId="49" fontId="52" fillId="0" borderId="27" xfId="0" applyNumberFormat="1" applyFont="1" applyFill="1" applyBorder="1" applyAlignment="1" applyProtection="1">
      <alignment horizontal="center" vertical="top" wrapText="1" readingOrder="1"/>
      <protection locked="0"/>
    </xf>
    <xf numFmtId="49" fontId="52" fillId="0" borderId="39" xfId="0" applyNumberFormat="1" applyFont="1" applyFill="1" applyBorder="1" applyAlignment="1" applyProtection="1">
      <alignment horizontal="center" vertical="top" wrapText="1" readingOrder="1"/>
      <protection locked="0"/>
    </xf>
    <xf numFmtId="193" fontId="52" fillId="0" borderId="27" xfId="0" applyNumberFormat="1" applyFont="1" applyFill="1" applyBorder="1" applyAlignment="1" applyProtection="1">
      <alignment vertical="top" wrapText="1" readingOrder="1"/>
      <protection locked="0"/>
    </xf>
    <xf numFmtId="0" fontId="2" fillId="0" borderId="13" xfId="0" applyNumberFormat="1" applyFont="1" applyFill="1" applyBorder="1" applyAlignment="1" applyProtection="1">
      <alignment horizontal="center" vertical="top" wrapText="1" shrinkToFit="1"/>
      <protection locked="0"/>
    </xf>
    <xf numFmtId="191" fontId="3" fillId="0" borderId="29" xfId="0" applyNumberFormat="1" applyFont="1" applyFill="1" applyBorder="1" applyAlignment="1" applyProtection="1">
      <alignment vertical="top" wrapText="1" readingOrder="1"/>
      <protection locked="0"/>
    </xf>
    <xf numFmtId="192" fontId="3" fillId="0" borderId="14" xfId="0" applyNumberFormat="1" applyFont="1" applyFill="1" applyBorder="1" applyAlignment="1" applyProtection="1">
      <alignment vertical="top" wrapText="1" readingOrder="1"/>
      <protection locked="0"/>
    </xf>
    <xf numFmtId="0" fontId="4" fillId="0" borderId="14" xfId="0" applyFont="1" applyFill="1" applyBorder="1" applyAlignment="1" applyProtection="1">
      <alignment horizontal="left" vertical="top" wrapText="1" readingOrder="1"/>
      <protection locked="0"/>
    </xf>
    <xf numFmtId="14" fontId="3" fillId="0" borderId="10" xfId="0" applyNumberFormat="1" applyFont="1" applyFill="1" applyBorder="1" applyAlignment="1" applyProtection="1">
      <alignment horizontal="center" vertical="top" wrapText="1" shrinkToFit="1"/>
      <protection locked="0"/>
    </xf>
    <xf numFmtId="0" fontId="3" fillId="0" borderId="10" xfId="0" applyNumberFormat="1" applyFont="1" applyFill="1" applyBorder="1" applyAlignment="1" applyProtection="1">
      <alignment horizontal="center" vertical="top" wrapText="1" shrinkToFit="1"/>
      <protection locked="0"/>
    </xf>
    <xf numFmtId="0" fontId="4" fillId="0" borderId="15" xfId="0" applyFont="1" applyFill="1" applyBorder="1" applyAlignment="1" applyProtection="1">
      <alignment horizontal="left" vertical="top" wrapText="1" readingOrder="1"/>
      <protection locked="0"/>
    </xf>
    <xf numFmtId="0" fontId="4" fillId="0" borderId="13" xfId="0" applyFont="1" applyFill="1" applyBorder="1" applyAlignment="1" applyProtection="1">
      <alignment horizontal="left" vertical="top" wrapText="1" readingOrder="1"/>
      <protection locked="0"/>
    </xf>
    <xf numFmtId="0" fontId="2" fillId="0" borderId="11" xfId="0" applyNumberFormat="1" applyFont="1" applyFill="1" applyBorder="1" applyAlignment="1" applyProtection="1">
      <alignment horizontal="center" vertical="top" wrapText="1" shrinkToFit="1"/>
      <protection locked="0"/>
    </xf>
    <xf numFmtId="0" fontId="4" fillId="0" borderId="20" xfId="0" applyFont="1" applyFill="1" applyBorder="1" applyAlignment="1" applyProtection="1">
      <alignment horizontal="left" vertical="top" wrapText="1" readingOrder="1"/>
      <protection locked="0"/>
    </xf>
    <xf numFmtId="0" fontId="4" fillId="0" borderId="16" xfId="0" applyFont="1" applyFill="1" applyBorder="1" applyAlignment="1" applyProtection="1">
      <alignment horizontal="left" vertical="top" wrapText="1" readingOrder="1"/>
      <protection locked="0"/>
    </xf>
    <xf numFmtId="0" fontId="2" fillId="0" borderId="14" xfId="0" applyNumberFormat="1" applyFont="1" applyFill="1" applyBorder="1" applyAlignment="1" applyProtection="1">
      <alignment horizontal="center" vertical="top" wrapText="1" shrinkToFit="1"/>
      <protection locked="0"/>
    </xf>
    <xf numFmtId="0" fontId="2" fillId="0" borderId="20" xfId="0" applyNumberFormat="1" applyFont="1" applyFill="1" applyBorder="1" applyAlignment="1" applyProtection="1">
      <alignment horizontal="center" vertical="top" wrapText="1" shrinkToFit="1"/>
      <protection locked="0"/>
    </xf>
    <xf numFmtId="0" fontId="2" fillId="0" borderId="16" xfId="0" applyNumberFormat="1" applyFont="1" applyFill="1" applyBorder="1" applyAlignment="1" applyProtection="1">
      <alignment horizontal="center" vertical="top" wrapText="1" shrinkToFit="1"/>
      <protection locked="0"/>
    </xf>
    <xf numFmtId="0" fontId="3" fillId="0" borderId="38" xfId="0" applyFont="1" applyFill="1" applyBorder="1" applyAlignment="1" applyProtection="1">
      <alignment horizontal="left" vertical="top" wrapText="1" readingOrder="1"/>
      <protection locked="0"/>
    </xf>
    <xf numFmtId="0" fontId="3" fillId="0" borderId="18" xfId="0" applyFont="1" applyFill="1" applyBorder="1" applyAlignment="1" applyProtection="1">
      <alignment horizontal="left" vertical="top" wrapText="1" readingOrder="1"/>
      <protection locked="0"/>
    </xf>
    <xf numFmtId="0" fontId="4" fillId="0" borderId="11" xfId="0" applyFont="1" applyFill="1" applyBorder="1" applyAlignment="1" applyProtection="1">
      <alignment horizontal="left" vertical="top" wrapText="1" readingOrder="1"/>
      <protection locked="0"/>
    </xf>
    <xf numFmtId="0" fontId="2" fillId="0" borderId="10" xfId="0" applyNumberFormat="1" applyFont="1" applyFill="1" applyBorder="1" applyAlignment="1" applyProtection="1">
      <alignment horizontal="center" vertical="top" wrapText="1" shrinkToFit="1"/>
      <protection locked="0"/>
    </xf>
    <xf numFmtId="0" fontId="2" fillId="0" borderId="27" xfId="0" applyNumberFormat="1" applyFont="1" applyFill="1" applyBorder="1" applyAlignment="1" applyProtection="1">
      <alignment horizontal="center" vertical="top" wrapText="1" shrinkToFit="1"/>
      <protection locked="0"/>
    </xf>
    <xf numFmtId="0" fontId="2" fillId="0" borderId="18" xfId="0" applyNumberFormat="1" applyFont="1" applyFill="1" applyBorder="1" applyAlignment="1" applyProtection="1">
      <alignment horizontal="center" vertical="top" wrapText="1" shrinkToFit="1"/>
      <protection locked="0"/>
    </xf>
    <xf numFmtId="0" fontId="3" fillId="0" borderId="20" xfId="0" applyFont="1" applyFill="1" applyBorder="1" applyAlignment="1" applyProtection="1">
      <alignment horizontal="left" vertical="top" wrapText="1" readingOrder="1"/>
      <protection locked="0"/>
    </xf>
    <xf numFmtId="0" fontId="3" fillId="0" borderId="11" xfId="0" applyFont="1" applyFill="1" applyBorder="1" applyAlignment="1" applyProtection="1">
      <alignment horizontal="left" vertical="top" wrapText="1" readingOrder="1"/>
      <protection locked="0"/>
    </xf>
    <xf numFmtId="0" fontId="3" fillId="0" borderId="16" xfId="0" applyFont="1" applyFill="1" applyBorder="1" applyAlignment="1" applyProtection="1">
      <alignment horizontal="left" vertical="top" wrapText="1" readingOrder="1"/>
      <protection locked="0"/>
    </xf>
    <xf numFmtId="14" fontId="2" fillId="0" borderId="10" xfId="0" applyNumberFormat="1" applyFont="1" applyFill="1" applyBorder="1" applyAlignment="1" applyProtection="1">
      <alignment horizontal="center" vertical="top" wrapText="1" shrinkToFit="1"/>
      <protection locked="0"/>
    </xf>
    <xf numFmtId="0" fontId="0" fillId="0" borderId="10" xfId="0" applyFill="1" applyBorder="1" applyAlignment="1">
      <alignment vertical="top"/>
    </xf>
    <xf numFmtId="0" fontId="4" fillId="0" borderId="20" xfId="0" applyFont="1" applyFill="1" applyBorder="1" applyAlignment="1" applyProtection="1">
      <alignment horizontal="center" vertical="top" wrapText="1" readingOrder="1"/>
      <protection locked="0"/>
    </xf>
    <xf numFmtId="0" fontId="4" fillId="0" borderId="11" xfId="0" applyFont="1" applyFill="1" applyBorder="1" applyAlignment="1" applyProtection="1">
      <alignment horizontal="center" vertical="top" wrapText="1" readingOrder="1"/>
      <protection locked="0"/>
    </xf>
    <xf numFmtId="0" fontId="4" fillId="0" borderId="16" xfId="0" applyFont="1" applyFill="1" applyBorder="1" applyAlignment="1" applyProtection="1">
      <alignment horizontal="center" vertical="top" wrapText="1" readingOrder="1"/>
      <protection locked="0"/>
    </xf>
    <xf numFmtId="0" fontId="2" fillId="0" borderId="15" xfId="0" applyNumberFormat="1" applyFont="1" applyFill="1" applyBorder="1" applyAlignment="1" applyProtection="1">
      <alignment horizontal="center" vertical="top" wrapText="1" shrinkToFit="1"/>
      <protection locked="0"/>
    </xf>
    <xf numFmtId="0" fontId="3" fillId="0" borderId="14" xfId="0" applyFont="1" applyFill="1" applyBorder="1" applyAlignment="1" applyProtection="1">
      <alignment horizontal="center" vertical="center" wrapText="1" readingOrder="1"/>
      <protection locked="0"/>
    </xf>
    <xf numFmtId="0" fontId="3" fillId="0" borderId="14" xfId="0" applyNumberFormat="1" applyFont="1" applyFill="1" applyBorder="1" applyAlignment="1" applyProtection="1">
      <alignment horizontal="center" vertical="top" wrapText="1" shrinkToFit="1"/>
      <protection locked="0"/>
    </xf>
    <xf numFmtId="0" fontId="2" fillId="0" borderId="23" xfId="0" applyNumberFormat="1" applyFont="1" applyFill="1" applyBorder="1" applyAlignment="1" applyProtection="1">
      <alignment horizontal="center" vertical="top" wrapText="1" shrinkToFit="1"/>
      <protection locked="0"/>
    </xf>
    <xf numFmtId="0" fontId="4" fillId="0" borderId="14" xfId="0" applyFont="1" applyFill="1" applyBorder="1" applyAlignment="1" applyProtection="1">
      <alignment horizontal="center" vertical="top" wrapText="1" readingOrder="1"/>
      <protection locked="0"/>
    </xf>
    <xf numFmtId="49" fontId="4" fillId="0" borderId="20" xfId="0" applyNumberFormat="1" applyFont="1" applyFill="1" applyBorder="1" applyAlignment="1" applyProtection="1">
      <alignment horizontal="center" vertical="top" wrapText="1" readingOrder="1"/>
      <protection locked="0"/>
    </xf>
    <xf numFmtId="49" fontId="4" fillId="0" borderId="11" xfId="0" applyNumberFormat="1" applyFont="1" applyFill="1" applyBorder="1" applyAlignment="1" applyProtection="1">
      <alignment horizontal="center" vertical="top" wrapText="1" readingOrder="1"/>
      <protection locked="0"/>
    </xf>
    <xf numFmtId="0" fontId="2" fillId="0" borderId="23" xfId="0" applyNumberFormat="1" applyFont="1" applyFill="1" applyBorder="1" applyAlignment="1" applyProtection="1">
      <alignment horizontal="center" vertical="top" wrapText="1" shrinkToFit="1"/>
      <protection locked="0"/>
    </xf>
    <xf numFmtId="0" fontId="2" fillId="0" borderId="10" xfId="0" applyNumberFormat="1" applyFont="1" applyFill="1" applyBorder="1" applyAlignment="1" applyProtection="1">
      <alignment horizontal="center" vertical="top" wrapText="1" shrinkToFit="1"/>
      <protection locked="0"/>
    </xf>
    <xf numFmtId="14" fontId="3" fillId="0" borderId="14" xfId="0" applyNumberFormat="1" applyFont="1" applyFill="1" applyBorder="1" applyAlignment="1" applyProtection="1">
      <alignment horizontal="center" vertical="top" wrapText="1" shrinkToFit="1"/>
      <protection locked="0"/>
    </xf>
    <xf numFmtId="14" fontId="2" fillId="0" borderId="20" xfId="0" applyNumberFormat="1" applyFont="1" applyFill="1" applyBorder="1" applyAlignment="1" applyProtection="1">
      <alignment horizontal="center" vertical="top" wrapText="1" shrinkToFit="1"/>
      <protection locked="0"/>
    </xf>
    <xf numFmtId="14" fontId="2" fillId="0" borderId="11" xfId="0" applyNumberFormat="1" applyFont="1" applyFill="1" applyBorder="1" applyAlignment="1" applyProtection="1">
      <alignment horizontal="center" vertical="top" wrapText="1" shrinkToFit="1"/>
      <protection locked="0"/>
    </xf>
    <xf numFmtId="14" fontId="2" fillId="0" borderId="16" xfId="0" applyNumberFormat="1" applyFont="1" applyFill="1" applyBorder="1" applyAlignment="1" applyProtection="1">
      <alignment horizontal="center" vertical="top" wrapText="1" shrinkToFit="1"/>
      <protection locked="0"/>
    </xf>
    <xf numFmtId="0" fontId="2" fillId="0" borderId="19" xfId="0" applyNumberFormat="1" applyFont="1" applyFill="1" applyBorder="1" applyAlignment="1" applyProtection="1">
      <alignment horizontal="center" vertical="top" wrapText="1"/>
      <protection/>
    </xf>
    <xf numFmtId="0" fontId="3" fillId="0" borderId="20" xfId="0" applyFont="1" applyFill="1" applyBorder="1" applyAlignment="1" applyProtection="1">
      <alignment horizontal="center" vertical="top" wrapText="1" readingOrder="1"/>
      <protection locked="0"/>
    </xf>
    <xf numFmtId="0" fontId="3" fillId="0" borderId="11" xfId="0" applyFont="1" applyFill="1" applyBorder="1" applyAlignment="1" applyProtection="1">
      <alignment horizontal="center" vertical="top" wrapText="1" readingOrder="1"/>
      <protection locked="0"/>
    </xf>
    <xf numFmtId="0" fontId="3" fillId="0" borderId="0" xfId="0" applyNumberFormat="1" applyFont="1" applyFill="1" applyBorder="1" applyAlignment="1" applyProtection="1">
      <alignment horizontal="center" vertical="top" wrapText="1" shrinkToFit="1"/>
      <protection locked="0"/>
    </xf>
    <xf numFmtId="0" fontId="3" fillId="0" borderId="59" xfId="0" applyNumberFormat="1" applyFont="1" applyFill="1" applyBorder="1" applyAlignment="1" applyProtection="1">
      <alignment horizontal="center" vertical="top" wrapText="1" shrinkToFit="1"/>
      <protection locked="0"/>
    </xf>
    <xf numFmtId="0" fontId="2" fillId="0" borderId="60" xfId="0" applyNumberFormat="1" applyFont="1" applyFill="1" applyBorder="1" applyAlignment="1" applyProtection="1">
      <alignment horizontal="center" vertical="top" wrapText="1" shrinkToFit="1"/>
      <protection locked="0"/>
    </xf>
    <xf numFmtId="0" fontId="2" fillId="0" borderId="0" xfId="0" applyNumberFormat="1" applyFont="1" applyFill="1" applyBorder="1" applyAlignment="1" applyProtection="1">
      <alignment horizontal="center" vertical="top" wrapText="1" shrinkToFit="1"/>
      <protection locked="0"/>
    </xf>
    <xf numFmtId="0" fontId="2" fillId="0" borderId="59" xfId="0" applyNumberFormat="1" applyFont="1" applyFill="1" applyBorder="1" applyAlignment="1" applyProtection="1">
      <alignment horizontal="center" vertical="top" wrapText="1" shrinkToFit="1"/>
      <protection locked="0"/>
    </xf>
    <xf numFmtId="0" fontId="3" fillId="0" borderId="16" xfId="0" applyFont="1" applyFill="1" applyBorder="1" applyAlignment="1" applyProtection="1">
      <alignment horizontal="center" vertical="top" wrapText="1" readingOrder="1"/>
      <protection locked="0"/>
    </xf>
    <xf numFmtId="0" fontId="4" fillId="0" borderId="46" xfId="0" applyFont="1" applyFill="1" applyBorder="1" applyAlignment="1" applyProtection="1">
      <alignment horizontal="center" vertical="top" wrapText="1" readingOrder="1"/>
      <protection locked="0"/>
    </xf>
    <xf numFmtId="0" fontId="2" fillId="0" borderId="11" xfId="0" applyNumberFormat="1" applyFont="1" applyFill="1" applyBorder="1" applyAlignment="1" applyProtection="1">
      <alignment horizontal="center" vertical="center" wrapText="1" shrinkToFit="1"/>
      <protection locked="0"/>
    </xf>
    <xf numFmtId="14" fontId="2" fillId="0" borderId="15" xfId="0" applyNumberFormat="1" applyFont="1" applyFill="1" applyBorder="1" applyAlignment="1" applyProtection="1">
      <alignment horizontal="center" vertical="top" wrapText="1" shrinkToFit="1"/>
      <protection locked="0"/>
    </xf>
    <xf numFmtId="0" fontId="3" fillId="0" borderId="14" xfId="0" applyFont="1" applyFill="1" applyBorder="1" applyAlignment="1" applyProtection="1">
      <alignment horizontal="center" vertical="top" wrapText="1" readingOrder="1"/>
      <protection locked="0"/>
    </xf>
    <xf numFmtId="0" fontId="2" fillId="0" borderId="21" xfId="0" applyNumberFormat="1" applyFont="1" applyFill="1" applyBorder="1" applyAlignment="1" applyProtection="1">
      <alignment horizontal="center" vertical="top" wrapText="1" shrinkToFit="1"/>
      <protection locked="0"/>
    </xf>
    <xf numFmtId="0" fontId="2" fillId="0" borderId="19" xfId="0" applyNumberFormat="1" applyFont="1" applyFill="1" applyBorder="1" applyAlignment="1" applyProtection="1">
      <alignment horizontal="center" vertical="top" wrapText="1" shrinkToFit="1"/>
      <protection locked="0"/>
    </xf>
    <xf numFmtId="4" fontId="3" fillId="0" borderId="23" xfId="0" applyNumberFormat="1" applyFont="1" applyFill="1" applyBorder="1" applyAlignment="1" applyProtection="1">
      <alignment horizontal="right" vertical="center" wrapText="1" readingOrder="1"/>
      <protection locked="0"/>
    </xf>
    <xf numFmtId="4" fontId="3" fillId="0" borderId="10" xfId="0" applyNumberFormat="1" applyFont="1" applyFill="1" applyBorder="1" applyAlignment="1" applyProtection="1">
      <alignment horizontal="right" vertical="center" wrapText="1" readingOrder="1"/>
      <protection locked="0"/>
    </xf>
    <xf numFmtId="49" fontId="4" fillId="0" borderId="16" xfId="0" applyNumberFormat="1" applyFont="1" applyFill="1" applyBorder="1" applyAlignment="1" applyProtection="1">
      <alignment horizontal="center" vertical="top" wrapText="1" readingOrder="1"/>
      <protection locked="0"/>
    </xf>
    <xf numFmtId="0" fontId="52" fillId="0" borderId="15" xfId="0" applyFont="1" applyFill="1" applyBorder="1" applyAlignment="1" applyProtection="1">
      <alignment horizontal="center" vertical="top" wrapText="1" readingOrder="1"/>
      <protection locked="0"/>
    </xf>
    <xf numFmtId="0" fontId="52" fillId="0" borderId="10" xfId="0" applyFont="1" applyFill="1" applyBorder="1" applyAlignment="1" applyProtection="1">
      <alignment horizontal="center" vertical="top" wrapText="1" readingOrder="1"/>
      <protection locked="0"/>
    </xf>
    <xf numFmtId="0" fontId="4" fillId="0" borderId="10" xfId="0" applyFont="1" applyFill="1" applyBorder="1" applyAlignment="1" applyProtection="1">
      <alignment horizontal="left" vertical="top" wrapText="1" readingOrder="1"/>
      <protection locked="0"/>
    </xf>
    <xf numFmtId="0" fontId="2" fillId="0" borderId="25" xfId="0" applyNumberFormat="1" applyFont="1" applyFill="1" applyBorder="1" applyAlignment="1" applyProtection="1">
      <alignment horizontal="center" vertical="top" wrapText="1" shrinkToFit="1"/>
      <protection locked="0"/>
    </xf>
    <xf numFmtId="0" fontId="2" fillId="0" borderId="37" xfId="0" applyNumberFormat="1" applyFont="1" applyFill="1" applyBorder="1" applyAlignment="1" applyProtection="1">
      <alignment horizontal="center" vertical="top" wrapText="1" shrinkToFit="1"/>
      <protection locked="0"/>
    </xf>
    <xf numFmtId="0" fontId="3" fillId="0" borderId="35" xfId="0" applyFont="1" applyFill="1" applyBorder="1" applyAlignment="1" applyProtection="1">
      <alignment horizontal="left" vertical="top" wrapText="1" readingOrder="1"/>
      <protection locked="0"/>
    </xf>
    <xf numFmtId="0" fontId="3" fillId="0" borderId="10" xfId="0" applyFont="1" applyFill="1" applyBorder="1" applyAlignment="1" applyProtection="1">
      <alignment horizontal="left" vertical="top" wrapText="1" readingOrder="1"/>
      <protection locked="0"/>
    </xf>
    <xf numFmtId="0" fontId="3" fillId="0" borderId="46" xfId="0" applyFont="1" applyFill="1" applyBorder="1" applyAlignment="1" applyProtection="1">
      <alignment horizontal="left" vertical="top" wrapText="1" readingOrder="1"/>
      <protection locked="0"/>
    </xf>
    <xf numFmtId="0" fontId="3" fillId="0" borderId="22" xfId="0" applyFont="1" applyFill="1" applyBorder="1" applyAlignment="1" applyProtection="1">
      <alignment horizontal="left" vertical="top" wrapText="1" readingOrder="1"/>
      <protection locked="0"/>
    </xf>
    <xf numFmtId="0" fontId="3" fillId="0" borderId="0" xfId="0" applyFont="1" applyFill="1" applyBorder="1" applyAlignment="1" applyProtection="1">
      <alignment horizontal="left" vertical="top" wrapText="1" readingOrder="1"/>
      <protection locked="0"/>
    </xf>
    <xf numFmtId="0" fontId="3" fillId="0" borderId="59" xfId="0" applyFont="1" applyFill="1" applyBorder="1" applyAlignment="1" applyProtection="1">
      <alignment horizontal="left" vertical="top" wrapText="1" readingOrder="1"/>
      <protection locked="0"/>
    </xf>
    <xf numFmtId="0" fontId="4" fillId="0" borderId="29" xfId="0" applyFont="1" applyFill="1" applyBorder="1" applyAlignment="1" applyProtection="1">
      <alignment horizontal="left" vertical="top" wrapText="1" readingOrder="1"/>
      <protection locked="0"/>
    </xf>
    <xf numFmtId="0" fontId="4" fillId="0" borderId="25" xfId="0" applyFont="1" applyFill="1" applyBorder="1" applyAlignment="1" applyProtection="1">
      <alignment horizontal="left" vertical="top" wrapText="1" readingOrder="1"/>
      <protection locked="0"/>
    </xf>
    <xf numFmtId="0" fontId="4" fillId="0" borderId="15" xfId="0" applyFont="1" applyFill="1" applyBorder="1" applyAlignment="1" applyProtection="1">
      <alignment horizontal="center" vertical="top" wrapText="1" readingOrder="1"/>
      <protection locked="0"/>
    </xf>
    <xf numFmtId="0" fontId="4" fillId="0" borderId="10" xfId="0" applyFont="1" applyFill="1" applyBorder="1" applyAlignment="1" applyProtection="1">
      <alignment horizontal="center" vertical="top" wrapText="1" readingOrder="1"/>
      <protection locked="0"/>
    </xf>
    <xf numFmtId="0" fontId="3" fillId="0" borderId="15" xfId="0" applyFont="1" applyFill="1" applyBorder="1" applyAlignment="1" applyProtection="1">
      <alignment horizontal="left" vertical="top" wrapText="1" readingOrder="1"/>
      <protection locked="0"/>
    </xf>
    <xf numFmtId="0" fontId="2" fillId="0" borderId="14"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center" vertical="top" wrapText="1"/>
      <protection/>
    </xf>
    <xf numFmtId="0" fontId="2" fillId="0" borderId="20"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vertical="top" wrapText="1"/>
      <protection/>
    </xf>
    <xf numFmtId="0" fontId="2" fillId="0" borderId="54" xfId="0" applyNumberFormat="1" applyFont="1" applyFill="1" applyBorder="1" applyAlignment="1" applyProtection="1">
      <alignment horizontal="center" vertical="top" wrapText="1" shrinkToFit="1"/>
      <protection locked="0"/>
    </xf>
    <xf numFmtId="0" fontId="2" fillId="0" borderId="19" xfId="0" applyNumberFormat="1" applyFont="1" applyFill="1" applyBorder="1" applyAlignment="1" applyProtection="1">
      <alignment horizontal="center" vertical="top" wrapText="1" shrinkToFit="1"/>
      <protection locked="0"/>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shrinkToFit="1" readingOrder="1"/>
      <protection locked="0"/>
    </xf>
    <xf numFmtId="0" fontId="13" fillId="0" borderId="0" xfId="0" applyFont="1" applyFill="1" applyAlignment="1" applyProtection="1">
      <alignment horizontal="center" vertical="top" wrapText="1" readingOrder="1"/>
      <protection locked="0"/>
    </xf>
    <xf numFmtId="0" fontId="3" fillId="0" borderId="12" xfId="0" applyFont="1" applyFill="1" applyBorder="1" applyAlignment="1" applyProtection="1">
      <alignment horizontal="center" vertical="top" wrapText="1" readingOrder="1"/>
      <protection locked="0"/>
    </xf>
    <xf numFmtId="0" fontId="3" fillId="0" borderId="61" xfId="0" applyFont="1" applyFill="1" applyBorder="1" applyAlignment="1" applyProtection="1">
      <alignment vertical="top" wrapText="1"/>
      <protection locked="0"/>
    </xf>
    <xf numFmtId="0" fontId="3" fillId="0" borderId="53" xfId="0" applyFont="1" applyFill="1" applyBorder="1" applyAlignment="1" applyProtection="1">
      <alignment vertical="top" wrapText="1"/>
      <protection locked="0"/>
    </xf>
    <xf numFmtId="0" fontId="3" fillId="0" borderId="20" xfId="0" applyFont="1" applyFill="1" applyBorder="1" applyAlignment="1" applyProtection="1">
      <alignment horizontal="center" vertical="center" wrapText="1" readingOrder="1"/>
      <protection locked="0"/>
    </xf>
    <xf numFmtId="0" fontId="3" fillId="0" borderId="11" xfId="0" applyFont="1" applyFill="1" applyBorder="1" applyAlignment="1" applyProtection="1">
      <alignment horizontal="center" vertical="center" wrapText="1" readingOrder="1"/>
      <protection locked="0"/>
    </xf>
    <xf numFmtId="0" fontId="3" fillId="0" borderId="16" xfId="0" applyFont="1" applyFill="1" applyBorder="1" applyAlignment="1" applyProtection="1">
      <alignment horizontal="center" vertical="center" wrapText="1" readingOrder="1"/>
      <protection locked="0"/>
    </xf>
    <xf numFmtId="0" fontId="3" fillId="0" borderId="29" xfId="0" applyFont="1" applyFill="1" applyBorder="1" applyAlignment="1" applyProtection="1">
      <alignment horizontal="center" vertical="center" wrapText="1" readingOrder="1"/>
      <protection locked="0"/>
    </xf>
    <xf numFmtId="0" fontId="3" fillId="0" borderId="22" xfId="0" applyFont="1" applyFill="1" applyBorder="1" applyAlignment="1" applyProtection="1">
      <alignment horizontal="center" vertical="center" wrapText="1" readingOrder="1"/>
      <protection locked="0"/>
    </xf>
    <xf numFmtId="0" fontId="3" fillId="0" borderId="37" xfId="0" applyFont="1" applyFill="1" applyBorder="1" applyAlignment="1" applyProtection="1">
      <alignment horizontal="center" vertical="center" wrapText="1" readingOrder="1"/>
      <protection locked="0"/>
    </xf>
    <xf numFmtId="0" fontId="3" fillId="0" borderId="59" xfId="0" applyFont="1" applyFill="1" applyBorder="1" applyAlignment="1" applyProtection="1">
      <alignment horizontal="center" vertical="center" wrapText="1" readingOrder="1"/>
      <protection locked="0"/>
    </xf>
    <xf numFmtId="0" fontId="4" fillId="0" borderId="46" xfId="0" applyFont="1" applyFill="1" applyBorder="1" applyAlignment="1" applyProtection="1">
      <alignment horizontal="left" vertical="top" wrapText="1" readingOrder="1"/>
      <protection locked="0"/>
    </xf>
    <xf numFmtId="0" fontId="3" fillId="0" borderId="23" xfId="0" applyFont="1" applyFill="1" applyBorder="1" applyAlignment="1" applyProtection="1">
      <alignment horizontal="right" vertical="center" wrapText="1" readingOrder="1"/>
      <protection locked="0"/>
    </xf>
    <xf numFmtId="0" fontId="3" fillId="0" borderId="10" xfId="0" applyFont="1" applyFill="1" applyBorder="1" applyAlignment="1" applyProtection="1">
      <alignment horizontal="right" vertical="center" wrapText="1" readingOrder="1"/>
      <protection locked="0"/>
    </xf>
    <xf numFmtId="0" fontId="3" fillId="0" borderId="25" xfId="0" applyFont="1" applyFill="1" applyBorder="1" applyAlignment="1" applyProtection="1">
      <alignment horizontal="center" vertical="center" wrapText="1" readingOrder="1"/>
      <protection locked="0"/>
    </xf>
    <xf numFmtId="0" fontId="3" fillId="0" borderId="15" xfId="0" applyFont="1" applyFill="1" applyBorder="1" applyAlignment="1" applyProtection="1">
      <alignment horizontal="center" vertical="top" wrapText="1" readingOrder="1"/>
      <protection locked="0"/>
    </xf>
    <xf numFmtId="0" fontId="3" fillId="0" borderId="29" xfId="0" applyFont="1" applyFill="1" applyBorder="1" applyAlignment="1" applyProtection="1">
      <alignment horizontal="center" vertical="top" wrapText="1" readingOrder="1"/>
      <protection locked="0"/>
    </xf>
    <xf numFmtId="0" fontId="3" fillId="0" borderId="25" xfId="0" applyFont="1" applyFill="1" applyBorder="1" applyAlignment="1" applyProtection="1">
      <alignment horizontal="center" vertical="top" wrapText="1" readingOrder="1"/>
      <protection locked="0"/>
    </xf>
    <xf numFmtId="49" fontId="3" fillId="0" borderId="20" xfId="0" applyNumberFormat="1" applyFont="1" applyFill="1" applyBorder="1" applyAlignment="1" applyProtection="1">
      <alignment horizontal="center" vertical="top" wrapText="1" readingOrder="1"/>
      <protection locked="0"/>
    </xf>
    <xf numFmtId="49" fontId="3" fillId="0" borderId="11" xfId="0" applyNumberFormat="1" applyFont="1" applyFill="1" applyBorder="1" applyAlignment="1" applyProtection="1">
      <alignment horizontal="center" vertical="top" wrapText="1" readingOrder="1"/>
      <protection locked="0"/>
    </xf>
    <xf numFmtId="0" fontId="3" fillId="0" borderId="10" xfId="0" applyFont="1" applyFill="1" applyBorder="1" applyAlignment="1" applyProtection="1">
      <alignment horizontal="center" vertical="top" wrapText="1"/>
      <protection locked="0"/>
    </xf>
    <xf numFmtId="0" fontId="2" fillId="0" borderId="10" xfId="0" applyNumberFormat="1" applyFont="1" applyFill="1" applyBorder="1" applyAlignment="1" applyProtection="1">
      <alignment horizontal="center" vertical="top" wrapText="1"/>
      <protection/>
    </xf>
    <xf numFmtId="0" fontId="2" fillId="0" borderId="38" xfId="0" applyNumberFormat="1" applyFont="1" applyFill="1" applyBorder="1" applyAlignment="1" applyProtection="1">
      <alignment horizontal="center" vertical="top" wrapText="1" shrinkToFit="1"/>
      <protection locked="0"/>
    </xf>
    <xf numFmtId="0" fontId="3" fillId="0" borderId="10" xfId="0" applyFont="1" applyFill="1" applyBorder="1" applyAlignment="1" applyProtection="1">
      <alignment horizontal="center" vertical="top" wrapText="1" readingOrder="1"/>
      <protection locked="0"/>
    </xf>
    <xf numFmtId="0" fontId="3" fillId="0" borderId="27" xfId="0" applyFont="1" applyFill="1" applyBorder="1" applyAlignment="1" applyProtection="1">
      <alignment horizontal="center" vertical="top" wrapText="1" readingOrder="1"/>
      <protection locked="0"/>
    </xf>
    <xf numFmtId="0" fontId="3" fillId="0" borderId="62" xfId="0" applyNumberFormat="1" applyFont="1" applyFill="1" applyBorder="1" applyAlignment="1" applyProtection="1">
      <alignment horizontal="center" vertical="top" wrapText="1" shrinkToFit="1"/>
      <protection locked="0"/>
    </xf>
    <xf numFmtId="0" fontId="3" fillId="0" borderId="48" xfId="0" applyNumberFormat="1" applyFont="1" applyFill="1" applyBorder="1" applyAlignment="1" applyProtection="1">
      <alignment horizontal="center" vertical="top" wrapText="1" shrinkToFit="1"/>
      <protection locked="0"/>
    </xf>
    <xf numFmtId="0" fontId="2" fillId="0" borderId="21" xfId="0" applyNumberFormat="1" applyFont="1" applyFill="1" applyBorder="1" applyAlignment="1" applyProtection="1">
      <alignment horizontal="center" vertical="top" wrapText="1" shrinkToFit="1"/>
      <protection locked="0"/>
    </xf>
    <xf numFmtId="0" fontId="2" fillId="0" borderId="43" xfId="0" applyNumberFormat="1" applyFont="1" applyFill="1" applyBorder="1" applyAlignment="1" applyProtection="1">
      <alignment horizontal="center" vertical="top" wrapText="1" shrinkToFit="1"/>
      <protection locked="0"/>
    </xf>
    <xf numFmtId="0" fontId="0" fillId="0" borderId="27" xfId="0" applyFont="1" applyFill="1" applyBorder="1" applyAlignment="1">
      <alignment/>
    </xf>
    <xf numFmtId="14" fontId="3" fillId="0" borderId="21" xfId="0" applyNumberFormat="1" applyFont="1" applyFill="1" applyBorder="1" applyAlignment="1" applyProtection="1">
      <alignment horizontal="center" vertical="top" wrapText="1" readingOrder="1"/>
      <protection locked="0"/>
    </xf>
    <xf numFmtId="0" fontId="3" fillId="0" borderId="19" xfId="0" applyFont="1" applyFill="1" applyBorder="1" applyAlignment="1" applyProtection="1">
      <alignment horizontal="center" vertical="top" wrapText="1" readingOrder="1"/>
      <protection locked="0"/>
    </xf>
    <xf numFmtId="0" fontId="3" fillId="0" borderId="13" xfId="0" applyFont="1" applyFill="1" applyBorder="1" applyAlignment="1" applyProtection="1">
      <alignment horizontal="center" vertical="top" wrapText="1" readingOrder="1"/>
      <protection locked="0"/>
    </xf>
    <xf numFmtId="199" fontId="1" fillId="0" borderId="0" xfId="0" applyNumberFormat="1" applyFont="1" applyFill="1" applyAlignment="1">
      <alignment horizontal="center"/>
    </xf>
    <xf numFmtId="0" fontId="3" fillId="0" borderId="15" xfId="0" applyNumberFormat="1" applyFont="1" applyFill="1" applyBorder="1" applyAlignment="1" applyProtection="1">
      <alignment horizontal="center" vertical="top" wrapText="1" shrinkToFit="1"/>
      <protection locked="0"/>
    </xf>
    <xf numFmtId="14" fontId="3" fillId="0" borderId="15" xfId="0" applyNumberFormat="1" applyFont="1" applyFill="1" applyBorder="1" applyAlignment="1" applyProtection="1">
      <alignment horizontal="center" vertical="top" wrapText="1" shrinkToFit="1"/>
      <protection locked="0"/>
    </xf>
    <xf numFmtId="199" fontId="12" fillId="0" borderId="0" xfId="0" applyNumberFormat="1" applyFont="1" applyFill="1" applyAlignment="1">
      <alignment horizontal="center"/>
    </xf>
    <xf numFmtId="14" fontId="2" fillId="0" borderId="11" xfId="0" applyNumberFormat="1" applyFont="1" applyFill="1" applyBorder="1" applyAlignment="1" applyProtection="1">
      <alignment horizontal="center" vertical="top" wrapText="1"/>
      <protection/>
    </xf>
    <xf numFmtId="0" fontId="4" fillId="0" borderId="29" xfId="0" applyFont="1" applyFill="1" applyBorder="1" applyAlignment="1" applyProtection="1">
      <alignment horizontal="center" vertical="top" wrapText="1" readingOrder="1"/>
      <protection locked="0"/>
    </xf>
    <xf numFmtId="0" fontId="4" fillId="0" borderId="25" xfId="0" applyFont="1" applyFill="1" applyBorder="1" applyAlignment="1" applyProtection="1">
      <alignment horizontal="center" vertical="top" wrapText="1" readingOrder="1"/>
      <protection locked="0"/>
    </xf>
    <xf numFmtId="0" fontId="2" fillId="0" borderId="11" xfId="0" applyNumberFormat="1" applyFont="1" applyFill="1" applyBorder="1" applyAlignment="1" applyProtection="1">
      <alignment horizontal="center" vertical="center" wrapText="1" readingOrder="1"/>
      <protection/>
    </xf>
    <xf numFmtId="0" fontId="3" fillId="0" borderId="0" xfId="0" applyFont="1" applyFill="1" applyBorder="1" applyAlignment="1" applyProtection="1">
      <alignment horizontal="center" vertical="top" wrapText="1"/>
      <protection locked="0"/>
    </xf>
    <xf numFmtId="0" fontId="3" fillId="0" borderId="18" xfId="0" applyFont="1" applyFill="1" applyBorder="1" applyAlignment="1" applyProtection="1">
      <alignment horizontal="center" vertical="top" wrapText="1"/>
      <protection locked="0"/>
    </xf>
    <xf numFmtId="0" fontId="3" fillId="0" borderId="54" xfId="0" applyNumberFormat="1" applyFont="1" applyFill="1" applyBorder="1" applyAlignment="1" applyProtection="1">
      <alignment horizontal="center" vertical="top" wrapText="1" shrinkToFit="1"/>
      <protection locked="0"/>
    </xf>
    <xf numFmtId="0" fontId="3" fillId="0" borderId="55" xfId="0" applyNumberFormat="1" applyFont="1" applyFill="1" applyBorder="1" applyAlignment="1" applyProtection="1">
      <alignment horizontal="center" vertical="top" wrapText="1" shrinkToFit="1"/>
      <protection locked="0"/>
    </xf>
    <xf numFmtId="0" fontId="2" fillId="0" borderId="0" xfId="0" applyNumberFormat="1" applyFont="1" applyFill="1" applyBorder="1" applyAlignment="1" applyProtection="1">
      <alignment horizontal="center" vertical="top" wrapText="1"/>
      <protection/>
    </xf>
    <xf numFmtId="0" fontId="2" fillId="0" borderId="59" xfId="0" applyNumberFormat="1" applyFont="1" applyFill="1" applyBorder="1" applyAlignment="1" applyProtection="1">
      <alignment horizontal="center" vertical="top" wrapText="1"/>
      <protection/>
    </xf>
    <xf numFmtId="0" fontId="3" fillId="0" borderId="14" xfId="0" applyFont="1" applyFill="1" applyBorder="1" applyAlignment="1" applyProtection="1">
      <alignment horizontal="left" vertical="top" wrapText="1" readingOrder="1"/>
      <protection locked="0"/>
    </xf>
    <xf numFmtId="0" fontId="3" fillId="0" borderId="27" xfId="0" applyNumberFormat="1" applyFont="1" applyFill="1" applyBorder="1" applyAlignment="1" applyProtection="1">
      <alignment horizontal="center" vertical="top" wrapText="1" shrinkToFit="1"/>
      <protection locked="0"/>
    </xf>
    <xf numFmtId="0" fontId="3" fillId="0" borderId="13" xfId="0" applyNumberFormat="1" applyFont="1" applyFill="1" applyBorder="1" applyAlignment="1" applyProtection="1">
      <alignment horizontal="center" vertical="top" wrapText="1" shrinkToFit="1"/>
      <protection locked="0"/>
    </xf>
    <xf numFmtId="14" fontId="3" fillId="0" borderId="13" xfId="0" applyNumberFormat="1" applyFont="1" applyFill="1" applyBorder="1" applyAlignment="1" applyProtection="1">
      <alignment horizontal="center" vertical="top" wrapText="1" shrinkToFit="1"/>
      <protection locked="0"/>
    </xf>
    <xf numFmtId="0" fontId="3" fillId="0" borderId="13" xfId="0" applyFont="1" applyFill="1" applyBorder="1" applyAlignment="1" applyProtection="1">
      <alignment horizontal="left" vertical="top" wrapText="1" readingOrder="1"/>
      <protection locked="0"/>
    </xf>
    <xf numFmtId="49" fontId="3" fillId="0" borderId="15" xfId="0" applyNumberFormat="1" applyFont="1" applyFill="1" applyBorder="1" applyAlignment="1" applyProtection="1">
      <alignment horizontal="center" vertical="top" wrapText="1" readingOrder="1"/>
      <protection locked="0"/>
    </xf>
    <xf numFmtId="49" fontId="3" fillId="0" borderId="13" xfId="0" applyNumberFormat="1" applyFont="1" applyFill="1" applyBorder="1" applyAlignment="1" applyProtection="1">
      <alignment horizontal="center" vertical="top" wrapText="1" readingOrder="1"/>
      <protection locked="0"/>
    </xf>
    <xf numFmtId="0" fontId="2" fillId="0" borderId="15" xfId="0" applyNumberFormat="1" applyFont="1" applyFill="1" applyBorder="1" applyAlignment="1" applyProtection="1">
      <alignment horizontal="center" vertical="center" wrapText="1" shrinkToFit="1"/>
      <protection locked="0"/>
    </xf>
    <xf numFmtId="0" fontId="2" fillId="0" borderId="10" xfId="0" applyNumberFormat="1" applyFont="1" applyFill="1" applyBorder="1" applyAlignment="1" applyProtection="1">
      <alignment horizontal="center" vertical="center" wrapText="1" shrinkToFit="1"/>
      <protection locked="0"/>
    </xf>
    <xf numFmtId="0" fontId="2" fillId="0" borderId="13" xfId="0" applyNumberFormat="1" applyFont="1" applyFill="1" applyBorder="1" applyAlignment="1" applyProtection="1">
      <alignment horizontal="center" vertical="center" wrapText="1" shrinkToFit="1"/>
      <protection locked="0"/>
    </xf>
    <xf numFmtId="14" fontId="3" fillId="0" borderId="49" xfId="0" applyNumberFormat="1" applyFont="1" applyFill="1" applyBorder="1" applyAlignment="1" applyProtection="1">
      <alignment horizontal="center" vertical="top" wrapText="1" shrinkToFit="1"/>
      <protection locked="0"/>
    </xf>
    <xf numFmtId="14" fontId="3" fillId="0" borderId="56" xfId="0" applyNumberFormat="1" applyFont="1" applyFill="1" applyBorder="1" applyAlignment="1" applyProtection="1">
      <alignment horizontal="center" vertical="top" wrapText="1" shrinkToFit="1"/>
      <protection locked="0"/>
    </xf>
    <xf numFmtId="49" fontId="9" fillId="0" borderId="36" xfId="0" applyNumberFormat="1" applyFont="1" applyFill="1" applyBorder="1" applyAlignment="1">
      <alignment horizontal="center" vertical="center"/>
    </xf>
    <xf numFmtId="49" fontId="9" fillId="0" borderId="34"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_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518"/>
  <sheetViews>
    <sheetView showGridLines="0" tabSelected="1" zoomScaleSheetLayoutView="80" zoomScalePageLayoutView="0" workbookViewId="0" topLeftCell="A1">
      <pane xSplit="2" ySplit="5" topLeftCell="G510" activePane="bottomRight" state="frozen"/>
      <selection pane="topLeft" activeCell="A1" sqref="A1"/>
      <selection pane="topRight" activeCell="C1" sqref="C1"/>
      <selection pane="bottomLeft" activeCell="A6" sqref="A6"/>
      <selection pane="bottomRight" activeCell="Q507" sqref="Q507:R507"/>
    </sheetView>
  </sheetViews>
  <sheetFormatPr defaultColWidth="9.140625" defaultRowHeight="12.75"/>
  <cols>
    <col min="1" max="1" width="36.140625" style="50" customWidth="1"/>
    <col min="2" max="2" width="5.8515625" style="389" customWidth="1"/>
    <col min="3" max="3" width="22.00390625" style="50" customWidth="1"/>
    <col min="4" max="4" width="6.28125" style="50" customWidth="1"/>
    <col min="5" max="5" width="9.00390625" style="50" customWidth="1"/>
    <col min="6" max="6" width="22.140625" style="50" customWidth="1"/>
    <col min="7" max="7" width="6.57421875" style="50" customWidth="1"/>
    <col min="8" max="8" width="10.00390625" style="50" customWidth="1"/>
    <col min="9" max="9" width="49.00390625" style="50" customWidth="1"/>
    <col min="10" max="10" width="6.421875" style="50" customWidth="1"/>
    <col min="11" max="11" width="9.7109375" style="50" customWidth="1"/>
    <col min="12" max="13" width="3.7109375" style="50" customWidth="1"/>
    <col min="14" max="14" width="10.140625" style="50" customWidth="1"/>
    <col min="15" max="15" width="9.421875" style="50" customWidth="1"/>
    <col min="16" max="17" width="9.7109375" style="50" customWidth="1"/>
    <col min="18" max="18" width="9.28125" style="50" customWidth="1"/>
    <col min="19" max="16384" width="9.140625" style="165" customWidth="1"/>
  </cols>
  <sheetData>
    <row r="1" spans="1:18" ht="18" customHeight="1">
      <c r="A1" s="569" t="s">
        <v>1362</v>
      </c>
      <c r="B1" s="569"/>
      <c r="C1" s="569"/>
      <c r="D1" s="569"/>
      <c r="E1" s="569"/>
      <c r="F1" s="569"/>
      <c r="G1" s="569"/>
      <c r="H1" s="569"/>
      <c r="I1" s="569"/>
      <c r="J1" s="569"/>
      <c r="K1" s="569"/>
      <c r="L1" s="569"/>
      <c r="M1" s="569"/>
      <c r="N1" s="569"/>
      <c r="O1" s="569"/>
      <c r="P1" s="569"/>
      <c r="Q1" s="569"/>
      <c r="R1" s="569"/>
    </row>
    <row r="2" spans="1:18" s="166" customFormat="1" ht="12.75" customHeight="1">
      <c r="A2" s="573" t="s">
        <v>639</v>
      </c>
      <c r="B2" s="527" t="s">
        <v>0</v>
      </c>
      <c r="C2" s="570" t="s">
        <v>640</v>
      </c>
      <c r="D2" s="571"/>
      <c r="E2" s="571"/>
      <c r="F2" s="571"/>
      <c r="G2" s="571"/>
      <c r="H2" s="571"/>
      <c r="I2" s="571"/>
      <c r="J2" s="571"/>
      <c r="K2" s="572"/>
      <c r="L2" s="576" t="s">
        <v>1</v>
      </c>
      <c r="M2" s="577"/>
      <c r="N2" s="538" t="s">
        <v>2</v>
      </c>
      <c r="O2" s="538"/>
      <c r="P2" s="538"/>
      <c r="Q2" s="538"/>
      <c r="R2" s="538"/>
    </row>
    <row r="3" spans="1:18" s="166" customFormat="1" ht="23.25" customHeight="1">
      <c r="A3" s="574"/>
      <c r="B3" s="528"/>
      <c r="C3" s="570" t="s">
        <v>7</v>
      </c>
      <c r="D3" s="571"/>
      <c r="E3" s="572"/>
      <c r="F3" s="570" t="s">
        <v>8</v>
      </c>
      <c r="G3" s="571"/>
      <c r="H3" s="572"/>
      <c r="I3" s="570" t="s">
        <v>56</v>
      </c>
      <c r="J3" s="571"/>
      <c r="K3" s="572"/>
      <c r="L3" s="578"/>
      <c r="M3" s="579"/>
      <c r="N3" s="514" t="s">
        <v>927</v>
      </c>
      <c r="O3" s="514"/>
      <c r="P3" s="514" t="s">
        <v>928</v>
      </c>
      <c r="Q3" s="514" t="s">
        <v>929</v>
      </c>
      <c r="R3" s="150" t="s">
        <v>9</v>
      </c>
    </row>
    <row r="4" spans="1:18" s="166" customFormat="1" ht="86.25" customHeight="1">
      <c r="A4" s="575"/>
      <c r="B4" s="534"/>
      <c r="C4" s="64" t="s">
        <v>475</v>
      </c>
      <c r="D4" s="64" t="s">
        <v>10</v>
      </c>
      <c r="E4" s="64" t="s">
        <v>11</v>
      </c>
      <c r="F4" s="64" t="s">
        <v>475</v>
      </c>
      <c r="G4" s="64" t="s">
        <v>10</v>
      </c>
      <c r="H4" s="64" t="s">
        <v>11</v>
      </c>
      <c r="I4" s="64" t="s">
        <v>475</v>
      </c>
      <c r="J4" s="64" t="s">
        <v>10</v>
      </c>
      <c r="K4" s="64" t="s">
        <v>11</v>
      </c>
      <c r="L4" s="64" t="s">
        <v>12</v>
      </c>
      <c r="M4" s="199" t="s">
        <v>13</v>
      </c>
      <c r="N4" s="150" t="s">
        <v>14</v>
      </c>
      <c r="O4" s="150" t="s">
        <v>15</v>
      </c>
      <c r="P4" s="514"/>
      <c r="Q4" s="514"/>
      <c r="R4" s="150" t="s">
        <v>930</v>
      </c>
    </row>
    <row r="5" spans="1:18" s="166" customFormat="1" ht="12">
      <c r="A5" s="65" t="s">
        <v>3</v>
      </c>
      <c r="B5" s="65" t="s">
        <v>16</v>
      </c>
      <c r="C5" s="64" t="s">
        <v>17</v>
      </c>
      <c r="D5" s="64" t="s">
        <v>18</v>
      </c>
      <c r="E5" s="64" t="s">
        <v>19</v>
      </c>
      <c r="F5" s="64" t="s">
        <v>20</v>
      </c>
      <c r="G5" s="64" t="s">
        <v>21</v>
      </c>
      <c r="H5" s="64" t="s">
        <v>22</v>
      </c>
      <c r="I5" s="64">
        <v>9</v>
      </c>
      <c r="J5" s="64">
        <v>10</v>
      </c>
      <c r="K5" s="64">
        <v>11</v>
      </c>
      <c r="L5" s="64">
        <v>12</v>
      </c>
      <c r="M5" s="199">
        <v>13</v>
      </c>
      <c r="N5" s="102">
        <v>14</v>
      </c>
      <c r="O5" s="102">
        <v>15</v>
      </c>
      <c r="P5" s="102">
        <v>16</v>
      </c>
      <c r="Q5" s="102">
        <v>17</v>
      </c>
      <c r="R5" s="102">
        <v>18</v>
      </c>
    </row>
    <row r="6" spans="1:18" s="167" customFormat="1" ht="60" customHeight="1">
      <c r="A6" s="66" t="s">
        <v>630</v>
      </c>
      <c r="B6" s="67" t="s">
        <v>28</v>
      </c>
      <c r="C6" s="67" t="s">
        <v>29</v>
      </c>
      <c r="D6" s="67" t="s">
        <v>29</v>
      </c>
      <c r="E6" s="67" t="s">
        <v>29</v>
      </c>
      <c r="F6" s="67" t="s">
        <v>29</v>
      </c>
      <c r="G6" s="67" t="s">
        <v>29</v>
      </c>
      <c r="H6" s="67" t="s">
        <v>29</v>
      </c>
      <c r="I6" s="67" t="s">
        <v>29</v>
      </c>
      <c r="J6" s="67" t="s">
        <v>29</v>
      </c>
      <c r="K6" s="67" t="s">
        <v>29</v>
      </c>
      <c r="L6" s="67"/>
      <c r="M6" s="202"/>
      <c r="N6" s="228">
        <f>N7+N231+N276+N311+N367+N372</f>
        <v>1732052.5701199998</v>
      </c>
      <c r="O6" s="228">
        <f>O7+O231+O276+O311+O367+O372</f>
        <v>1647374.21912</v>
      </c>
      <c r="P6" s="228">
        <f>P7+P231+P276+P311+P367+P372</f>
        <v>1761213.53917</v>
      </c>
      <c r="Q6" s="228">
        <f>Q7+Q231+Q276+Q311+Q367+Q372</f>
        <v>1319444.317</v>
      </c>
      <c r="R6" s="228">
        <f>R7+R231+R276+R311+R367+R372</f>
        <v>1321593.417</v>
      </c>
    </row>
    <row r="7" spans="1:18" s="167" customFormat="1" ht="72">
      <c r="A7" s="66" t="s">
        <v>631</v>
      </c>
      <c r="B7" s="67" t="s">
        <v>30</v>
      </c>
      <c r="C7" s="67" t="s">
        <v>29</v>
      </c>
      <c r="D7" s="67" t="s">
        <v>29</v>
      </c>
      <c r="E7" s="67" t="s">
        <v>29</v>
      </c>
      <c r="F7" s="67" t="s">
        <v>29</v>
      </c>
      <c r="G7" s="67" t="s">
        <v>29</v>
      </c>
      <c r="H7" s="67" t="s">
        <v>29</v>
      </c>
      <c r="I7" s="67" t="s">
        <v>29</v>
      </c>
      <c r="J7" s="67" t="s">
        <v>29</v>
      </c>
      <c r="K7" s="67" t="s">
        <v>29</v>
      </c>
      <c r="L7" s="67"/>
      <c r="M7" s="202"/>
      <c r="N7" s="229">
        <f>N8+N225</f>
        <v>545366.4252299999</v>
      </c>
      <c r="O7" s="229">
        <f>O8+O225</f>
        <v>541355.9902299999</v>
      </c>
      <c r="P7" s="229">
        <f>P8+P225</f>
        <v>593657.02216</v>
      </c>
      <c r="Q7" s="229">
        <f>Q8+Q225</f>
        <v>349739.5999999999</v>
      </c>
      <c r="R7" s="229">
        <f>R8+R225</f>
        <v>351319.99999999994</v>
      </c>
    </row>
    <row r="8" spans="1:18" s="167" customFormat="1" ht="72">
      <c r="A8" s="66" t="s">
        <v>787</v>
      </c>
      <c r="B8" s="67">
        <v>1002</v>
      </c>
      <c r="C8" s="67" t="s">
        <v>29</v>
      </c>
      <c r="D8" s="67" t="s">
        <v>29</v>
      </c>
      <c r="E8" s="67" t="s">
        <v>29</v>
      </c>
      <c r="F8" s="67" t="s">
        <v>29</v>
      </c>
      <c r="G8" s="67" t="s">
        <v>29</v>
      </c>
      <c r="H8" s="67" t="s">
        <v>29</v>
      </c>
      <c r="I8" s="67" t="s">
        <v>29</v>
      </c>
      <c r="J8" s="67" t="s">
        <v>29</v>
      </c>
      <c r="K8" s="67" t="s">
        <v>29</v>
      </c>
      <c r="L8" s="105"/>
      <c r="M8" s="224"/>
      <c r="N8" s="229">
        <f>N9+N11+N12+N16+N20+N23+N24+N25+N33+N34+N46+N72+N94+N110+N113+N114+N117+N123+N124+N131+N149+N153+N155+N160+N170+N171+N186+N205+N207</f>
        <v>484804.42523</v>
      </c>
      <c r="O8" s="229">
        <f>O9+O11+O12+O16+O20+O23+O24+O25+O33+O34+O46+O72+O94+O110+O113+O114+O117+O123+O124+O131+O149+O153+O155+O160+O170+O171+O186+O205+O207</f>
        <v>480793.99022999994</v>
      </c>
      <c r="P8" s="229">
        <f>P9+P11+P12+P16+P20+P23+P24+P25+P33+P34+P46+P72+P94+P110+P113+P114+P117+P123+P124+P131+P149+P153+P155+P160+P170+P171+P186+P205+P207</f>
        <v>532068.74716</v>
      </c>
      <c r="Q8" s="229">
        <f>Q9+Q11+Q12+Q16+Q20+Q23+Q24+Q25+Q33+Q34+Q46+Q72+Q94+Q110+Q113+Q114+Q117+Q123+Q124+Q131+Q149+Q153+Q155+Q160+Q170+Q171+Q186+Q205+Q207</f>
        <v>288327.29999999993</v>
      </c>
      <c r="R8" s="229">
        <f>R9+R11+R12+R16+R20+R23+R24+R25+R33+R34+R46+R72+R94+R110+R113+R114+R117+R123+R124+R131+R149+R153+R155+R160+R170+R171+R186+R205+R207</f>
        <v>289907.69999999995</v>
      </c>
    </row>
    <row r="9" spans="1:18" s="167" customFormat="1" ht="12" customHeight="1">
      <c r="A9" s="555" t="s">
        <v>632</v>
      </c>
      <c r="B9" s="517">
        <v>1005</v>
      </c>
      <c r="C9" s="303"/>
      <c r="D9" s="82"/>
      <c r="E9" s="82"/>
      <c r="F9" s="82"/>
      <c r="G9" s="82"/>
      <c r="H9" s="82"/>
      <c r="I9" s="29"/>
      <c r="J9" s="29"/>
      <c r="K9" s="29"/>
      <c r="L9" s="83" t="s">
        <v>32</v>
      </c>
      <c r="M9" s="207" t="s">
        <v>26</v>
      </c>
      <c r="N9" s="229">
        <f>SUM(N10:N10)</f>
        <v>29772.821</v>
      </c>
      <c r="O9" s="229">
        <f>SUM(O10:O10)</f>
        <v>29372.821</v>
      </c>
      <c r="P9" s="229">
        <f>SUM(P10:P10)</f>
        <v>3327.6</v>
      </c>
      <c r="Q9" s="229">
        <f>SUM(Q10:Q10)</f>
        <v>2890</v>
      </c>
      <c r="R9" s="229">
        <f>SUM(R10:R10)</f>
        <v>2890</v>
      </c>
    </row>
    <row r="10" spans="1:18" s="166" customFormat="1" ht="133.5" customHeight="1">
      <c r="A10" s="556"/>
      <c r="B10" s="517"/>
      <c r="C10" s="396" t="s">
        <v>57</v>
      </c>
      <c r="D10" s="14" t="s">
        <v>75</v>
      </c>
      <c r="E10" s="14" t="s">
        <v>58</v>
      </c>
      <c r="F10" s="85" t="s">
        <v>31</v>
      </c>
      <c r="G10" s="85" t="s">
        <v>31</v>
      </c>
      <c r="H10" s="85" t="s">
        <v>31</v>
      </c>
      <c r="I10" s="397" t="s">
        <v>1316</v>
      </c>
      <c r="J10" s="85" t="s">
        <v>76</v>
      </c>
      <c r="K10" s="85" t="s">
        <v>77</v>
      </c>
      <c r="L10" s="85" t="s">
        <v>32</v>
      </c>
      <c r="M10" s="136" t="s">
        <v>26</v>
      </c>
      <c r="N10" s="101">
        <v>29772.821</v>
      </c>
      <c r="O10" s="101">
        <v>29372.821</v>
      </c>
      <c r="P10" s="101">
        <f>3300+27.6</f>
        <v>3327.6</v>
      </c>
      <c r="Q10" s="101">
        <v>2890</v>
      </c>
      <c r="R10" s="101">
        <v>2890</v>
      </c>
    </row>
    <row r="11" spans="1:18" s="167" customFormat="1" ht="59.25" customHeight="1">
      <c r="A11" s="110" t="s">
        <v>633</v>
      </c>
      <c r="B11" s="83">
        <v>1006</v>
      </c>
      <c r="C11" s="58" t="s">
        <v>57</v>
      </c>
      <c r="D11" s="58" t="s">
        <v>365</v>
      </c>
      <c r="E11" s="58" t="s">
        <v>58</v>
      </c>
      <c r="F11" s="83"/>
      <c r="G11" s="83"/>
      <c r="H11" s="83"/>
      <c r="I11" s="253" t="s">
        <v>464</v>
      </c>
      <c r="J11" s="253" t="s">
        <v>70</v>
      </c>
      <c r="K11" s="254" t="s">
        <v>355</v>
      </c>
      <c r="L11" s="83" t="s">
        <v>35</v>
      </c>
      <c r="M11" s="83" t="s">
        <v>36</v>
      </c>
      <c r="N11" s="148">
        <v>839.574</v>
      </c>
      <c r="O11" s="148">
        <v>0</v>
      </c>
      <c r="P11" s="148">
        <v>36366.19789</v>
      </c>
      <c r="Q11" s="148">
        <v>0</v>
      </c>
      <c r="R11" s="148">
        <v>511</v>
      </c>
    </row>
    <row r="12" spans="1:18" s="167" customFormat="1" ht="12" customHeight="1">
      <c r="A12" s="580" t="s">
        <v>788</v>
      </c>
      <c r="B12" s="535">
        <v>1007</v>
      </c>
      <c r="C12" s="91"/>
      <c r="D12" s="91"/>
      <c r="E12" s="91"/>
      <c r="F12" s="91"/>
      <c r="G12" s="91"/>
      <c r="H12" s="106"/>
      <c r="I12" s="106"/>
      <c r="J12" s="106"/>
      <c r="K12" s="106"/>
      <c r="L12" s="91" t="s">
        <v>37</v>
      </c>
      <c r="M12" s="208" t="s">
        <v>38</v>
      </c>
      <c r="N12" s="123">
        <f>SUM(N13:N15)</f>
        <v>2926.306</v>
      </c>
      <c r="O12" s="123">
        <f>SUM(O13:O15)</f>
        <v>2914.196</v>
      </c>
      <c r="P12" s="123">
        <f>SUM(P13:P15)</f>
        <v>4024.087</v>
      </c>
      <c r="Q12" s="123">
        <f>SUM(Q13:Q15)</f>
        <v>7376.7</v>
      </c>
      <c r="R12" s="123">
        <f>SUM(R13:R15)</f>
        <v>8446.1</v>
      </c>
    </row>
    <row r="13" spans="1:18" s="166" customFormat="1" ht="84" customHeight="1">
      <c r="A13" s="501"/>
      <c r="B13" s="511"/>
      <c r="C13" s="80" t="s">
        <v>57</v>
      </c>
      <c r="D13" s="80" t="s">
        <v>84</v>
      </c>
      <c r="E13" s="80" t="s">
        <v>58</v>
      </c>
      <c r="F13" s="80" t="s">
        <v>571</v>
      </c>
      <c r="G13" s="80" t="s">
        <v>572</v>
      </c>
      <c r="H13" s="361" t="s">
        <v>131</v>
      </c>
      <c r="I13" s="398" t="s">
        <v>78</v>
      </c>
      <c r="J13" s="398" t="s">
        <v>79</v>
      </c>
      <c r="K13" s="399" t="s">
        <v>80</v>
      </c>
      <c r="L13" s="80"/>
      <c r="M13" s="206"/>
      <c r="N13" s="101">
        <v>2926.306</v>
      </c>
      <c r="O13" s="101">
        <v>2914.196</v>
      </c>
      <c r="P13" s="101">
        <v>4024.087</v>
      </c>
      <c r="Q13" s="101">
        <f>3830.6+3546.1</f>
        <v>7376.7</v>
      </c>
      <c r="R13" s="101">
        <f>4900+3546.1</f>
        <v>8446.1</v>
      </c>
    </row>
    <row r="14" spans="1:18" s="166" customFormat="1" ht="108.75" customHeight="1">
      <c r="A14" s="501"/>
      <c r="B14" s="511"/>
      <c r="C14" s="85"/>
      <c r="D14" s="85"/>
      <c r="E14" s="85"/>
      <c r="F14" s="85"/>
      <c r="G14" s="85"/>
      <c r="H14" s="309"/>
      <c r="I14" s="27" t="s">
        <v>777</v>
      </c>
      <c r="J14" s="27" t="s">
        <v>70</v>
      </c>
      <c r="K14" s="30" t="s">
        <v>778</v>
      </c>
      <c r="L14" s="85"/>
      <c r="M14" s="136"/>
      <c r="N14" s="77"/>
      <c r="O14" s="77"/>
      <c r="P14" s="77"/>
      <c r="Q14" s="77"/>
      <c r="R14" s="77"/>
    </row>
    <row r="15" spans="1:18" s="166" customFormat="1" ht="84">
      <c r="A15" s="495"/>
      <c r="B15" s="512"/>
      <c r="C15" s="85"/>
      <c r="D15" s="85"/>
      <c r="E15" s="85"/>
      <c r="F15" s="85"/>
      <c r="G15" s="85"/>
      <c r="H15" s="309"/>
      <c r="I15" s="27" t="s">
        <v>82</v>
      </c>
      <c r="J15" s="27" t="s">
        <v>70</v>
      </c>
      <c r="K15" s="30" t="s">
        <v>83</v>
      </c>
      <c r="L15" s="85"/>
      <c r="M15" s="136"/>
      <c r="N15" s="77"/>
      <c r="O15" s="77"/>
      <c r="P15" s="77"/>
      <c r="Q15" s="77"/>
      <c r="R15" s="77"/>
    </row>
    <row r="16" spans="1:18" s="167" customFormat="1" ht="14.25" customHeight="1">
      <c r="A16" s="494" t="s">
        <v>790</v>
      </c>
      <c r="B16" s="518" t="s">
        <v>789</v>
      </c>
      <c r="C16" s="69"/>
      <c r="D16" s="69"/>
      <c r="E16" s="69"/>
      <c r="F16" s="70"/>
      <c r="G16" s="70"/>
      <c r="H16" s="70"/>
      <c r="I16" s="4"/>
      <c r="J16" s="4"/>
      <c r="K16" s="4"/>
      <c r="L16" s="70" t="s">
        <v>37</v>
      </c>
      <c r="M16" s="70" t="s">
        <v>40</v>
      </c>
      <c r="N16" s="332">
        <f>SUM(N17:N18)</f>
        <v>3168.034</v>
      </c>
      <c r="O16" s="332">
        <f>SUM(O17:O18)</f>
        <v>3168.034</v>
      </c>
      <c r="P16" s="332">
        <f>SUM(P17:P19)</f>
        <v>17749</v>
      </c>
      <c r="Q16" s="332">
        <f>SUM(Q17:Q18)</f>
        <v>3749</v>
      </c>
      <c r="R16" s="334">
        <f>SUM(R17:R18)</f>
        <v>3749</v>
      </c>
    </row>
    <row r="17" spans="1:18" s="166" customFormat="1" ht="109.5" customHeight="1">
      <c r="A17" s="501"/>
      <c r="B17" s="519"/>
      <c r="C17" s="85" t="s">
        <v>57</v>
      </c>
      <c r="D17" s="85" t="s">
        <v>86</v>
      </c>
      <c r="E17" s="85" t="s">
        <v>58</v>
      </c>
      <c r="F17" s="85" t="s">
        <v>31</v>
      </c>
      <c r="G17" s="85" t="s">
        <v>31</v>
      </c>
      <c r="H17" s="85" t="s">
        <v>31</v>
      </c>
      <c r="I17" s="473" t="s">
        <v>922</v>
      </c>
      <c r="J17" s="474" t="s">
        <v>1055</v>
      </c>
      <c r="K17" s="474" t="s">
        <v>80</v>
      </c>
      <c r="L17" s="85"/>
      <c r="M17" s="85"/>
      <c r="N17" s="86">
        <v>3168.034</v>
      </c>
      <c r="O17" s="86">
        <v>3168.034</v>
      </c>
      <c r="P17" s="86">
        <v>3749</v>
      </c>
      <c r="Q17" s="86">
        <v>3749</v>
      </c>
      <c r="R17" s="237">
        <v>3749</v>
      </c>
    </row>
    <row r="18" spans="1:18" s="166" customFormat="1" ht="75" customHeight="1">
      <c r="A18" s="501"/>
      <c r="B18" s="519"/>
      <c r="C18" s="75"/>
      <c r="D18" s="75"/>
      <c r="E18" s="75"/>
      <c r="F18" s="75"/>
      <c r="G18" s="75"/>
      <c r="H18" s="75"/>
      <c r="I18" s="10" t="s">
        <v>737</v>
      </c>
      <c r="J18" s="12" t="s">
        <v>70</v>
      </c>
      <c r="K18" s="12" t="s">
        <v>738</v>
      </c>
      <c r="L18" s="85"/>
      <c r="M18" s="85"/>
      <c r="N18" s="86"/>
      <c r="O18" s="86"/>
      <c r="P18" s="86"/>
      <c r="Q18" s="86"/>
      <c r="R18" s="237"/>
    </row>
    <row r="19" spans="1:18" s="166" customFormat="1" ht="49.5" customHeight="1">
      <c r="A19" s="475"/>
      <c r="B19" s="476" t="s">
        <v>758</v>
      </c>
      <c r="C19" s="373"/>
      <c r="D19" s="373"/>
      <c r="E19" s="373"/>
      <c r="F19" s="373"/>
      <c r="G19" s="373"/>
      <c r="H19" s="373"/>
      <c r="I19" s="253" t="s">
        <v>464</v>
      </c>
      <c r="J19" s="253" t="s">
        <v>70</v>
      </c>
      <c r="K19" s="254" t="s">
        <v>355</v>
      </c>
      <c r="L19" s="385"/>
      <c r="M19" s="385"/>
      <c r="N19" s="477"/>
      <c r="O19" s="477"/>
      <c r="P19" s="477">
        <v>14000</v>
      </c>
      <c r="Q19" s="477"/>
      <c r="R19" s="478"/>
    </row>
    <row r="20" spans="1:18" s="167" customFormat="1" ht="13.5" customHeight="1">
      <c r="A20" s="491" t="s">
        <v>791</v>
      </c>
      <c r="B20" s="557">
        <v>1010</v>
      </c>
      <c r="C20" s="110"/>
      <c r="D20" s="110"/>
      <c r="E20" s="110"/>
      <c r="F20" s="110"/>
      <c r="G20" s="110"/>
      <c r="H20" s="110"/>
      <c r="I20" s="19"/>
      <c r="J20" s="313"/>
      <c r="K20" s="313"/>
      <c r="L20" s="83" t="s">
        <v>37</v>
      </c>
      <c r="M20" s="83" t="s">
        <v>40</v>
      </c>
      <c r="N20" s="148">
        <f>SUM(N21:N22)</f>
        <v>4007</v>
      </c>
      <c r="O20" s="148">
        <f>SUM(O21:O22)</f>
        <v>4007</v>
      </c>
      <c r="P20" s="148">
        <f>SUM(P21:P22)</f>
        <v>3207</v>
      </c>
      <c r="Q20" s="148">
        <f>SUM(Q21:Q22)</f>
        <v>3207</v>
      </c>
      <c r="R20" s="148">
        <f>SUM(R21:R22)</f>
        <v>3207</v>
      </c>
    </row>
    <row r="21" spans="1:18" s="166" customFormat="1" ht="132" customHeight="1">
      <c r="A21" s="546"/>
      <c r="B21" s="558"/>
      <c r="C21" s="63" t="s">
        <v>57</v>
      </c>
      <c r="D21" s="63" t="s">
        <v>86</v>
      </c>
      <c r="E21" s="63" t="s">
        <v>58</v>
      </c>
      <c r="F21" s="87"/>
      <c r="G21" s="87"/>
      <c r="H21" s="87"/>
      <c r="I21" s="22" t="s">
        <v>1225</v>
      </c>
      <c r="J21" s="22" t="s">
        <v>70</v>
      </c>
      <c r="K21" s="22" t="s">
        <v>1224</v>
      </c>
      <c r="L21" s="63"/>
      <c r="M21" s="63"/>
      <c r="N21" s="77">
        <v>4007</v>
      </c>
      <c r="O21" s="77">
        <v>4007</v>
      </c>
      <c r="P21" s="77">
        <v>3207</v>
      </c>
      <c r="Q21" s="77">
        <v>3207</v>
      </c>
      <c r="R21" s="77">
        <v>3207</v>
      </c>
    </row>
    <row r="22" spans="1:18" s="166" customFormat="1" ht="109.5" customHeight="1">
      <c r="A22" s="546"/>
      <c r="B22" s="558"/>
      <c r="C22" s="63"/>
      <c r="D22" s="63"/>
      <c r="E22" s="63"/>
      <c r="F22" s="87"/>
      <c r="G22" s="87"/>
      <c r="H22" s="87"/>
      <c r="I22" s="401" t="s">
        <v>922</v>
      </c>
      <c r="J22" s="402" t="s">
        <v>1055</v>
      </c>
      <c r="K22" s="402" t="s">
        <v>80</v>
      </c>
      <c r="L22" s="63"/>
      <c r="M22" s="63"/>
      <c r="N22" s="77"/>
      <c r="O22" s="77"/>
      <c r="P22" s="77"/>
      <c r="Q22" s="77"/>
      <c r="R22" s="77"/>
    </row>
    <row r="23" spans="1:18" s="167" customFormat="1" ht="60" customHeight="1" hidden="1">
      <c r="A23" s="110" t="s">
        <v>792</v>
      </c>
      <c r="B23" s="83">
        <v>1013</v>
      </c>
      <c r="C23" s="150"/>
      <c r="D23" s="150"/>
      <c r="E23" s="150"/>
      <c r="F23" s="150"/>
      <c r="G23" s="149"/>
      <c r="H23" s="263"/>
      <c r="I23" s="244"/>
      <c r="J23" s="17"/>
      <c r="K23" s="17"/>
      <c r="L23" s="83"/>
      <c r="M23" s="83"/>
      <c r="N23" s="110">
        <v>0</v>
      </c>
      <c r="O23" s="110">
        <v>0</v>
      </c>
      <c r="P23" s="110">
        <v>0</v>
      </c>
      <c r="Q23" s="110">
        <v>0</v>
      </c>
      <c r="R23" s="110">
        <v>0</v>
      </c>
    </row>
    <row r="24" spans="1:18" s="167" customFormat="1" ht="108.75" customHeight="1" hidden="1">
      <c r="A24" s="90" t="s">
        <v>793</v>
      </c>
      <c r="B24" s="91">
        <v>1014</v>
      </c>
      <c r="C24" s="85" t="s">
        <v>57</v>
      </c>
      <c r="D24" s="85" t="s">
        <v>366</v>
      </c>
      <c r="E24" s="85" t="s">
        <v>58</v>
      </c>
      <c r="F24" s="85" t="s">
        <v>462</v>
      </c>
      <c r="G24" s="75" t="s">
        <v>70</v>
      </c>
      <c r="H24" s="99" t="s">
        <v>463</v>
      </c>
      <c r="I24" s="59" t="s">
        <v>87</v>
      </c>
      <c r="J24" s="2" t="s">
        <v>70</v>
      </c>
      <c r="K24" s="2" t="s">
        <v>88</v>
      </c>
      <c r="L24" s="91" t="s">
        <v>32</v>
      </c>
      <c r="M24" s="208" t="s">
        <v>26</v>
      </c>
      <c r="N24" s="124">
        <v>0</v>
      </c>
      <c r="O24" s="124">
        <v>0</v>
      </c>
      <c r="P24" s="124">
        <v>0</v>
      </c>
      <c r="Q24" s="124"/>
      <c r="R24" s="124">
        <v>0</v>
      </c>
    </row>
    <row r="25" spans="1:18" s="167" customFormat="1" ht="48">
      <c r="A25" s="69" t="s">
        <v>794</v>
      </c>
      <c r="B25" s="70">
        <v>1015</v>
      </c>
      <c r="C25" s="69"/>
      <c r="D25" s="69"/>
      <c r="E25" s="69"/>
      <c r="F25" s="69"/>
      <c r="G25" s="69"/>
      <c r="H25" s="69"/>
      <c r="I25" s="5"/>
      <c r="J25" s="6"/>
      <c r="K25" s="6"/>
      <c r="L25" s="70"/>
      <c r="M25" s="203"/>
      <c r="N25" s="314">
        <f>SUM(N27:N29)</f>
        <v>1660.692</v>
      </c>
      <c r="O25" s="314">
        <f>SUM(O27:O29)</f>
        <v>1660.692</v>
      </c>
      <c r="P25" s="314">
        <f>SUM(P27:P29)</f>
        <v>479.6</v>
      </c>
      <c r="Q25" s="314">
        <f>SUM(Q27:Q29)</f>
        <v>479.6</v>
      </c>
      <c r="R25" s="314">
        <f>SUM(R27:R29)</f>
        <v>479.6</v>
      </c>
    </row>
    <row r="26" spans="1:18" s="167" customFormat="1" ht="12">
      <c r="A26" s="69" t="s">
        <v>100</v>
      </c>
      <c r="B26" s="70"/>
      <c r="C26" s="69"/>
      <c r="D26" s="69"/>
      <c r="E26" s="69"/>
      <c r="F26" s="69"/>
      <c r="G26" s="69"/>
      <c r="H26" s="69"/>
      <c r="I26" s="5"/>
      <c r="J26" s="6"/>
      <c r="K26" s="6"/>
      <c r="L26" s="67"/>
      <c r="M26" s="202"/>
      <c r="N26" s="230"/>
      <c r="O26" s="230"/>
      <c r="P26" s="230"/>
      <c r="Q26" s="230"/>
      <c r="R26" s="230"/>
    </row>
    <row r="27" spans="1:18" s="168" customFormat="1" ht="12">
      <c r="A27" s="71"/>
      <c r="B27" s="72"/>
      <c r="C27" s="71"/>
      <c r="D27" s="71"/>
      <c r="E27" s="71"/>
      <c r="F27" s="71"/>
      <c r="G27" s="71"/>
      <c r="H27" s="71"/>
      <c r="I27" s="7"/>
      <c r="J27" s="8"/>
      <c r="K27" s="173"/>
      <c r="L27" s="134" t="s">
        <v>32</v>
      </c>
      <c r="M27" s="210" t="s">
        <v>26</v>
      </c>
      <c r="N27" s="315">
        <f>N32</f>
        <v>0</v>
      </c>
      <c r="O27" s="315">
        <f>O32</f>
        <v>0</v>
      </c>
      <c r="P27" s="315">
        <f>P32</f>
        <v>0</v>
      </c>
      <c r="Q27" s="315">
        <f>Q32</f>
        <v>0</v>
      </c>
      <c r="R27" s="315">
        <f>R32</f>
        <v>0</v>
      </c>
    </row>
    <row r="28" spans="1:18" s="168" customFormat="1" ht="12">
      <c r="A28" s="128"/>
      <c r="B28" s="74"/>
      <c r="C28" s="128"/>
      <c r="D28" s="128"/>
      <c r="E28" s="128"/>
      <c r="F28" s="128"/>
      <c r="G28" s="128"/>
      <c r="H28" s="128"/>
      <c r="I28" s="175"/>
      <c r="J28" s="176"/>
      <c r="K28" s="177"/>
      <c r="L28" s="178" t="s">
        <v>41</v>
      </c>
      <c r="M28" s="211" t="s">
        <v>38</v>
      </c>
      <c r="N28" s="316">
        <f aca="true" t="shared" si="0" ref="N28:P29">N30</f>
        <v>163.292</v>
      </c>
      <c r="O28" s="316">
        <f t="shared" si="0"/>
        <v>163.292</v>
      </c>
      <c r="P28" s="316">
        <f t="shared" si="0"/>
        <v>198</v>
      </c>
      <c r="Q28" s="316">
        <f>Q30</f>
        <v>198</v>
      </c>
      <c r="R28" s="316">
        <f>R30</f>
        <v>198</v>
      </c>
    </row>
    <row r="29" spans="1:18" s="168" customFormat="1" ht="12">
      <c r="A29" s="132"/>
      <c r="B29" s="174"/>
      <c r="C29" s="132"/>
      <c r="D29" s="132"/>
      <c r="E29" s="132"/>
      <c r="F29" s="132"/>
      <c r="G29" s="132"/>
      <c r="H29" s="132"/>
      <c r="I29" s="179"/>
      <c r="J29" s="21"/>
      <c r="K29" s="21"/>
      <c r="L29" s="134" t="s">
        <v>41</v>
      </c>
      <c r="M29" s="210">
        <v>10</v>
      </c>
      <c r="N29" s="317">
        <f t="shared" si="0"/>
        <v>1497.4</v>
      </c>
      <c r="O29" s="317">
        <f t="shared" si="0"/>
        <v>1497.4</v>
      </c>
      <c r="P29" s="317">
        <f t="shared" si="0"/>
        <v>281.6</v>
      </c>
      <c r="Q29" s="317">
        <f>Q31</f>
        <v>281.6</v>
      </c>
      <c r="R29" s="317">
        <f>R31</f>
        <v>281.6</v>
      </c>
    </row>
    <row r="30" spans="1:18" s="166" customFormat="1" ht="61.5" customHeight="1">
      <c r="A30" s="84"/>
      <c r="B30" s="80"/>
      <c r="C30" s="539" t="s">
        <v>95</v>
      </c>
      <c r="D30" s="520" t="s">
        <v>96</v>
      </c>
      <c r="E30" s="520" t="s">
        <v>97</v>
      </c>
      <c r="F30" s="516" t="s">
        <v>98</v>
      </c>
      <c r="G30" s="27" t="s">
        <v>1073</v>
      </c>
      <c r="H30" s="27" t="s">
        <v>99</v>
      </c>
      <c r="I30" s="27" t="s">
        <v>89</v>
      </c>
      <c r="J30" s="27" t="s">
        <v>90</v>
      </c>
      <c r="K30" s="31" t="s">
        <v>91</v>
      </c>
      <c r="L30" s="80" t="s">
        <v>41</v>
      </c>
      <c r="M30" s="206" t="s">
        <v>38</v>
      </c>
      <c r="N30" s="101">
        <v>163.292</v>
      </c>
      <c r="O30" s="101">
        <v>163.292</v>
      </c>
      <c r="P30" s="101">
        <v>198</v>
      </c>
      <c r="Q30" s="101">
        <v>198</v>
      </c>
      <c r="R30" s="101">
        <v>198</v>
      </c>
    </row>
    <row r="31" spans="1:18" s="166" customFormat="1" ht="84" customHeight="1">
      <c r="A31" s="75"/>
      <c r="B31" s="85"/>
      <c r="C31" s="540"/>
      <c r="D31" s="521"/>
      <c r="E31" s="521"/>
      <c r="F31" s="502"/>
      <c r="G31" s="404"/>
      <c r="H31" s="404"/>
      <c r="I31" s="23" t="s">
        <v>776</v>
      </c>
      <c r="J31" s="27" t="s">
        <v>92</v>
      </c>
      <c r="K31" s="31" t="s">
        <v>93</v>
      </c>
      <c r="L31" s="95" t="s">
        <v>41</v>
      </c>
      <c r="M31" s="212">
        <v>10</v>
      </c>
      <c r="N31" s="77">
        <v>1497.4</v>
      </c>
      <c r="O31" s="77">
        <v>1497.4</v>
      </c>
      <c r="P31" s="77">
        <v>281.6</v>
      </c>
      <c r="Q31" s="77">
        <v>281.6</v>
      </c>
      <c r="R31" s="77">
        <v>281.6</v>
      </c>
    </row>
    <row r="32" spans="1:18" s="166" customFormat="1" ht="70.5" customHeight="1">
      <c r="A32" s="373"/>
      <c r="B32" s="385"/>
      <c r="C32" s="405" t="s">
        <v>57</v>
      </c>
      <c r="D32" s="405" t="s">
        <v>575</v>
      </c>
      <c r="E32" s="405" t="s">
        <v>58</v>
      </c>
      <c r="F32" s="374"/>
      <c r="G32" s="374"/>
      <c r="H32" s="374"/>
      <c r="I32" s="12" t="s">
        <v>923</v>
      </c>
      <c r="J32" s="12" t="s">
        <v>70</v>
      </c>
      <c r="K32" s="12" t="s">
        <v>148</v>
      </c>
      <c r="L32" s="117"/>
      <c r="M32" s="213"/>
      <c r="N32" s="103"/>
      <c r="O32" s="103"/>
      <c r="P32" s="103"/>
      <c r="Q32" s="103"/>
      <c r="R32" s="103"/>
    </row>
    <row r="33" spans="1:18" s="167" customFormat="1" ht="108.75" customHeight="1" hidden="1">
      <c r="A33" s="90" t="s">
        <v>795</v>
      </c>
      <c r="B33" s="91">
        <v>1018</v>
      </c>
      <c r="C33" s="370" t="s">
        <v>57</v>
      </c>
      <c r="D33" s="371" t="s">
        <v>367</v>
      </c>
      <c r="E33" s="372" t="s">
        <v>58</v>
      </c>
      <c r="F33" s="75" t="s">
        <v>31</v>
      </c>
      <c r="G33" s="75" t="s">
        <v>31</v>
      </c>
      <c r="H33" s="75" t="s">
        <v>31</v>
      </c>
      <c r="I33" s="80" t="s">
        <v>104</v>
      </c>
      <c r="J33" s="80" t="s">
        <v>70</v>
      </c>
      <c r="K33" s="80" t="s">
        <v>103</v>
      </c>
      <c r="L33" s="67" t="s">
        <v>35</v>
      </c>
      <c r="M33" s="202" t="s">
        <v>41</v>
      </c>
      <c r="N33" s="229">
        <v>0</v>
      </c>
      <c r="O33" s="229">
        <v>0</v>
      </c>
      <c r="P33" s="229">
        <v>0</v>
      </c>
      <c r="Q33" s="229">
        <v>0</v>
      </c>
      <c r="R33" s="229">
        <v>0</v>
      </c>
    </row>
    <row r="34" spans="1:18" s="166" customFormat="1" ht="131.25" customHeight="1">
      <c r="A34" s="66" t="s">
        <v>796</v>
      </c>
      <c r="B34" s="67">
        <v>1019</v>
      </c>
      <c r="C34" s="32"/>
      <c r="D34" s="33"/>
      <c r="E34" s="34"/>
      <c r="F34" s="66" t="s">
        <v>31</v>
      </c>
      <c r="G34" s="66" t="s">
        <v>31</v>
      </c>
      <c r="H34" s="66" t="s">
        <v>31</v>
      </c>
      <c r="I34" s="66" t="s">
        <v>31</v>
      </c>
      <c r="J34" s="66" t="s">
        <v>31</v>
      </c>
      <c r="K34" s="66" t="s">
        <v>31</v>
      </c>
      <c r="L34" s="67"/>
      <c r="M34" s="202"/>
      <c r="N34" s="229">
        <f>SUM(N36:N37)</f>
        <v>128808.051</v>
      </c>
      <c r="O34" s="229">
        <f>SUM(O36:O37)</f>
        <v>128655.329</v>
      </c>
      <c r="P34" s="229">
        <f>SUM(P36:P37)</f>
        <v>136263.717</v>
      </c>
      <c r="Q34" s="229">
        <f>SUM(Q36:Q37)</f>
        <v>104939.70000000001</v>
      </c>
      <c r="R34" s="229">
        <f>SUM(R36:R37)</f>
        <v>104939.70000000001</v>
      </c>
    </row>
    <row r="35" spans="1:18" s="166" customFormat="1" ht="13.5" customHeight="1">
      <c r="A35" s="110" t="s">
        <v>100</v>
      </c>
      <c r="B35" s="83"/>
      <c r="C35" s="285"/>
      <c r="D35" s="285"/>
      <c r="E35" s="285"/>
      <c r="F35" s="110"/>
      <c r="G35" s="110"/>
      <c r="H35" s="110"/>
      <c r="I35" s="110"/>
      <c r="J35" s="110"/>
      <c r="K35" s="110"/>
      <c r="L35" s="83"/>
      <c r="M35" s="83"/>
      <c r="N35" s="148"/>
      <c r="O35" s="148"/>
      <c r="P35" s="148"/>
      <c r="Q35" s="148"/>
      <c r="R35" s="148"/>
    </row>
    <row r="36" spans="1:18" s="168" customFormat="1" ht="13.5" customHeight="1">
      <c r="A36" s="132"/>
      <c r="B36" s="174"/>
      <c r="C36" s="296"/>
      <c r="D36" s="296"/>
      <c r="E36" s="296"/>
      <c r="F36" s="132"/>
      <c r="G36" s="132"/>
      <c r="H36" s="132"/>
      <c r="I36" s="132"/>
      <c r="J36" s="132"/>
      <c r="K36" s="132"/>
      <c r="L36" s="134" t="s">
        <v>43</v>
      </c>
      <c r="M36" s="134" t="s">
        <v>32</v>
      </c>
      <c r="N36" s="317">
        <f>SUM(N38:N44)-N39</f>
        <v>100376.693</v>
      </c>
      <c r="O36" s="317">
        <f>SUM(O38:O44)-O39</f>
        <v>100329.542</v>
      </c>
      <c r="P36" s="317">
        <f>SUM(P38:P44)-P39</f>
        <v>105556.117</v>
      </c>
      <c r="Q36" s="317">
        <f>SUM(Q38:Q44)-Q39</f>
        <v>74232.1</v>
      </c>
      <c r="R36" s="317">
        <f>SUM(R38:R44)-R39</f>
        <v>74232.1</v>
      </c>
    </row>
    <row r="37" spans="1:18" s="168" customFormat="1" ht="13.5" customHeight="1">
      <c r="A37" s="132"/>
      <c r="B37" s="174"/>
      <c r="C37" s="296"/>
      <c r="D37" s="296"/>
      <c r="E37" s="296"/>
      <c r="F37" s="132"/>
      <c r="G37" s="132"/>
      <c r="H37" s="132"/>
      <c r="I37" s="132"/>
      <c r="J37" s="132"/>
      <c r="K37" s="132"/>
      <c r="L37" s="134" t="s">
        <v>43</v>
      </c>
      <c r="M37" s="134" t="s">
        <v>36</v>
      </c>
      <c r="N37" s="317">
        <f>N39</f>
        <v>28431.358</v>
      </c>
      <c r="O37" s="317">
        <f>O39</f>
        <v>28325.787</v>
      </c>
      <c r="P37" s="317">
        <f>P39</f>
        <v>30707.6</v>
      </c>
      <c r="Q37" s="317">
        <f>Q39</f>
        <v>30707.6</v>
      </c>
      <c r="R37" s="317">
        <f>R39</f>
        <v>30707.6</v>
      </c>
    </row>
    <row r="38" spans="1:18" s="283" customFormat="1" ht="42" customHeight="1">
      <c r="A38" s="560" t="s">
        <v>900</v>
      </c>
      <c r="B38" s="561"/>
      <c r="C38" s="515" t="s">
        <v>376</v>
      </c>
      <c r="D38" s="515" t="s">
        <v>370</v>
      </c>
      <c r="E38" s="515" t="s">
        <v>61</v>
      </c>
      <c r="F38" s="515" t="s">
        <v>374</v>
      </c>
      <c r="G38" s="515" t="s">
        <v>348</v>
      </c>
      <c r="H38" s="515" t="s">
        <v>241</v>
      </c>
      <c r="I38" s="515" t="s">
        <v>349</v>
      </c>
      <c r="J38" s="515" t="s">
        <v>70</v>
      </c>
      <c r="K38" s="522" t="s">
        <v>120</v>
      </c>
      <c r="L38" s="151" t="s">
        <v>43</v>
      </c>
      <c r="M38" s="151" t="s">
        <v>32</v>
      </c>
      <c r="N38" s="161">
        <f>71620.588+1055.298</f>
        <v>72675.886</v>
      </c>
      <c r="O38" s="161">
        <f>71576.137+1055.298</f>
        <v>72631.435</v>
      </c>
      <c r="P38" s="161">
        <f>72283.003+5895.714</f>
        <v>78178.717</v>
      </c>
      <c r="Q38" s="161">
        <v>72522.1</v>
      </c>
      <c r="R38" s="161">
        <v>72522.1</v>
      </c>
    </row>
    <row r="39" spans="1:18" s="283" customFormat="1" ht="42" customHeight="1">
      <c r="A39" s="560"/>
      <c r="B39" s="561"/>
      <c r="C39" s="515"/>
      <c r="D39" s="515"/>
      <c r="E39" s="515"/>
      <c r="F39" s="515"/>
      <c r="G39" s="515"/>
      <c r="H39" s="515"/>
      <c r="I39" s="515"/>
      <c r="J39" s="515"/>
      <c r="K39" s="522"/>
      <c r="L39" s="151" t="s">
        <v>43</v>
      </c>
      <c r="M39" s="151" t="s">
        <v>36</v>
      </c>
      <c r="N39" s="161">
        <v>28431.358</v>
      </c>
      <c r="O39" s="161">
        <v>28325.787</v>
      </c>
      <c r="P39" s="161">
        <v>30707.6</v>
      </c>
      <c r="Q39" s="161">
        <v>30707.6</v>
      </c>
      <c r="R39" s="161">
        <v>30707.6</v>
      </c>
    </row>
    <row r="40" spans="1:18" s="166" customFormat="1" ht="71.25" customHeight="1">
      <c r="A40" s="87" t="s">
        <v>901</v>
      </c>
      <c r="B40" s="88"/>
      <c r="C40" s="23"/>
      <c r="D40" s="23"/>
      <c r="E40" s="23"/>
      <c r="F40" s="23"/>
      <c r="G40" s="23"/>
      <c r="H40" s="23"/>
      <c r="I40" s="23" t="s">
        <v>923</v>
      </c>
      <c r="J40" s="23" t="s">
        <v>147</v>
      </c>
      <c r="K40" s="23" t="s">
        <v>148</v>
      </c>
      <c r="L40" s="197" t="s">
        <v>43</v>
      </c>
      <c r="M40" s="221" t="s">
        <v>32</v>
      </c>
      <c r="N40" s="232">
        <v>2414.707</v>
      </c>
      <c r="O40" s="232">
        <v>2414.707</v>
      </c>
      <c r="P40" s="232">
        <v>1517.1</v>
      </c>
      <c r="Q40" s="232">
        <v>1710</v>
      </c>
      <c r="R40" s="232">
        <v>1710</v>
      </c>
    </row>
    <row r="41" spans="1:18" s="283" customFormat="1" ht="120.75" customHeight="1">
      <c r="A41" s="152" t="s">
        <v>902</v>
      </c>
      <c r="B41" s="113" t="s">
        <v>358</v>
      </c>
      <c r="C41" s="22"/>
      <c r="D41" s="22"/>
      <c r="E41" s="22"/>
      <c r="F41" s="603" t="s">
        <v>578</v>
      </c>
      <c r="G41" s="603" t="s">
        <v>92</v>
      </c>
      <c r="H41" s="603" t="s">
        <v>579</v>
      </c>
      <c r="I41" s="22" t="s">
        <v>1353</v>
      </c>
      <c r="J41" s="22" t="s">
        <v>70</v>
      </c>
      <c r="K41" s="446" t="s">
        <v>514</v>
      </c>
      <c r="L41" s="113" t="s">
        <v>43</v>
      </c>
      <c r="M41" s="113" t="s">
        <v>32</v>
      </c>
      <c r="N41" s="135">
        <v>25286.1</v>
      </c>
      <c r="O41" s="135">
        <v>25283.4</v>
      </c>
      <c r="P41" s="135">
        <v>25860.3</v>
      </c>
      <c r="Q41" s="135">
        <v>0</v>
      </c>
      <c r="R41" s="135">
        <v>0</v>
      </c>
    </row>
    <row r="42" spans="1:18" s="283" customFormat="1" ht="82.5" customHeight="1">
      <c r="A42" s="87"/>
      <c r="B42" s="88"/>
      <c r="C42" s="23"/>
      <c r="D42" s="23"/>
      <c r="E42" s="23"/>
      <c r="F42" s="490"/>
      <c r="G42" s="490"/>
      <c r="H42" s="490"/>
      <c r="I42" s="63" t="s">
        <v>94</v>
      </c>
      <c r="J42" s="63" t="s">
        <v>70</v>
      </c>
      <c r="K42" s="63" t="s">
        <v>73</v>
      </c>
      <c r="L42" s="88"/>
      <c r="M42" s="88"/>
      <c r="N42" s="137"/>
      <c r="O42" s="137"/>
      <c r="P42" s="137"/>
      <c r="Q42" s="137"/>
      <c r="R42" s="137"/>
    </row>
    <row r="43" spans="1:18" s="166" customFormat="1" ht="26.25" customHeight="1" hidden="1">
      <c r="A43" s="87" t="s">
        <v>924</v>
      </c>
      <c r="B43" s="88"/>
      <c r="C43" s="63"/>
      <c r="D43" s="63"/>
      <c r="E43" s="63"/>
      <c r="F43" s="490"/>
      <c r="G43" s="490"/>
      <c r="H43" s="490"/>
      <c r="I43" s="63"/>
      <c r="J43" s="63"/>
      <c r="K43" s="63"/>
      <c r="L43" s="88"/>
      <c r="M43" s="88"/>
      <c r="N43" s="137"/>
      <c r="O43" s="137"/>
      <c r="P43" s="137"/>
      <c r="Q43" s="137"/>
      <c r="R43" s="137"/>
    </row>
    <row r="44" spans="1:18" s="166" customFormat="1" ht="12" customHeight="1" hidden="1">
      <c r="A44" s="87" t="s">
        <v>100</v>
      </c>
      <c r="B44" s="88"/>
      <c r="C44" s="63"/>
      <c r="D44" s="63"/>
      <c r="E44" s="63"/>
      <c r="F44" s="490"/>
      <c r="G44" s="490"/>
      <c r="H44" s="490"/>
      <c r="I44" s="63"/>
      <c r="J44" s="63"/>
      <c r="K44" s="63"/>
      <c r="L44" s="88"/>
      <c r="M44" s="88"/>
      <c r="N44" s="137"/>
      <c r="O44" s="137"/>
      <c r="P44" s="137"/>
      <c r="Q44" s="137"/>
      <c r="R44" s="137"/>
    </row>
    <row r="45" spans="1:18" s="166" customFormat="1" ht="12" hidden="1">
      <c r="A45" s="456"/>
      <c r="B45" s="325"/>
      <c r="C45" s="102"/>
      <c r="D45" s="102"/>
      <c r="E45" s="102"/>
      <c r="F45" s="617"/>
      <c r="G45" s="617"/>
      <c r="H45" s="617"/>
      <c r="I45" s="102"/>
      <c r="J45" s="102"/>
      <c r="K45" s="102"/>
      <c r="L45" s="325"/>
      <c r="M45" s="325"/>
      <c r="N45" s="138"/>
      <c r="O45" s="138"/>
      <c r="P45" s="138"/>
      <c r="Q45" s="138"/>
      <c r="R45" s="138"/>
    </row>
    <row r="46" spans="1:18" s="166" customFormat="1" ht="146.25" customHeight="1">
      <c r="A46" s="318" t="s">
        <v>797</v>
      </c>
      <c r="B46" s="242" t="s">
        <v>408</v>
      </c>
      <c r="C46" s="319"/>
      <c r="D46" s="319"/>
      <c r="E46" s="319"/>
      <c r="F46" s="319"/>
      <c r="G46" s="319"/>
      <c r="H46" s="320"/>
      <c r="I46" s="319"/>
      <c r="J46" s="319"/>
      <c r="K46" s="320"/>
      <c r="L46" s="321"/>
      <c r="M46" s="321"/>
      <c r="N46" s="329">
        <f>SUM(N47:N71)</f>
        <v>48890.21622999999</v>
      </c>
      <c r="O46" s="329">
        <f>SUM(O47:O71)</f>
        <v>48424.00822999999</v>
      </c>
      <c r="P46" s="329">
        <f>SUM(P47:P71)</f>
        <v>37825.07273</v>
      </c>
      <c r="Q46" s="329">
        <f>SUM(Q47:Q71)</f>
        <v>31502.75</v>
      </c>
      <c r="R46" s="329">
        <f>SUM(R47:R71)</f>
        <v>31502.75</v>
      </c>
    </row>
    <row r="47" spans="1:18" s="283" customFormat="1" ht="156" customHeight="1">
      <c r="A47" s="559" t="s">
        <v>926</v>
      </c>
      <c r="B47" s="544"/>
      <c r="C47" s="22" t="s">
        <v>376</v>
      </c>
      <c r="D47" s="22" t="s">
        <v>368</v>
      </c>
      <c r="E47" s="22" t="s">
        <v>61</v>
      </c>
      <c r="F47" s="22" t="s">
        <v>374</v>
      </c>
      <c r="G47" s="22" t="s">
        <v>369</v>
      </c>
      <c r="H47" s="22" t="s">
        <v>241</v>
      </c>
      <c r="I47" s="23" t="s">
        <v>1253</v>
      </c>
      <c r="J47" s="23" t="s">
        <v>70</v>
      </c>
      <c r="K47" s="23" t="s">
        <v>469</v>
      </c>
      <c r="L47" s="113" t="s">
        <v>43</v>
      </c>
      <c r="M47" s="217" t="s">
        <v>36</v>
      </c>
      <c r="N47" s="135">
        <f>21710.895+6692.916</f>
        <v>28403.811</v>
      </c>
      <c r="O47" s="135">
        <f>21639.513+6692.916</f>
        <v>28332.429</v>
      </c>
      <c r="P47" s="135">
        <f>22198.71373+3180.691</f>
        <v>25379.40473</v>
      </c>
      <c r="Q47" s="135">
        <v>24397.3</v>
      </c>
      <c r="R47" s="135">
        <v>24397.3</v>
      </c>
    </row>
    <row r="48" spans="1:18" s="283" customFormat="1" ht="60">
      <c r="A48" s="550"/>
      <c r="B48" s="545"/>
      <c r="C48" s="308"/>
      <c r="D48" s="308"/>
      <c r="E48" s="308"/>
      <c r="F48" s="288"/>
      <c r="G48" s="288"/>
      <c r="H48" s="288"/>
      <c r="I48" s="63" t="s">
        <v>343</v>
      </c>
      <c r="J48" s="63" t="s">
        <v>70</v>
      </c>
      <c r="K48" s="63" t="s">
        <v>353</v>
      </c>
      <c r="L48" s="284"/>
      <c r="M48" s="289"/>
      <c r="N48" s="290"/>
      <c r="O48" s="290"/>
      <c r="P48" s="290"/>
      <c r="Q48" s="290"/>
      <c r="R48" s="290"/>
    </row>
    <row r="49" spans="1:18" s="283" customFormat="1" ht="60">
      <c r="A49" s="550"/>
      <c r="B49" s="545"/>
      <c r="C49" s="23" t="s">
        <v>375</v>
      </c>
      <c r="D49" s="23" t="s">
        <v>925</v>
      </c>
      <c r="E49" s="23" t="s">
        <v>576</v>
      </c>
      <c r="F49" s="288"/>
      <c r="G49" s="288"/>
      <c r="H49" s="288"/>
      <c r="I49" s="63" t="s">
        <v>558</v>
      </c>
      <c r="J49" s="63" t="s">
        <v>70</v>
      </c>
      <c r="K49" s="63" t="s">
        <v>559</v>
      </c>
      <c r="L49" s="481"/>
      <c r="M49" s="282"/>
      <c r="N49" s="290"/>
      <c r="O49" s="290"/>
      <c r="P49" s="290"/>
      <c r="Q49" s="290"/>
      <c r="R49" s="290"/>
    </row>
    <row r="50" spans="1:18" s="283" customFormat="1" ht="48">
      <c r="A50" s="310"/>
      <c r="B50" s="481"/>
      <c r="C50" s="23"/>
      <c r="D50" s="23"/>
      <c r="E50" s="23"/>
      <c r="F50" s="23"/>
      <c r="G50" s="23"/>
      <c r="H50" s="23"/>
      <c r="I50" s="23" t="s">
        <v>94</v>
      </c>
      <c r="J50" s="23" t="s">
        <v>70</v>
      </c>
      <c r="K50" s="26" t="s">
        <v>73</v>
      </c>
      <c r="L50" s="481"/>
      <c r="M50" s="481"/>
      <c r="N50" s="290"/>
      <c r="O50" s="290"/>
      <c r="P50" s="290"/>
      <c r="Q50" s="290"/>
      <c r="R50" s="290"/>
    </row>
    <row r="51" spans="1:18" s="166" customFormat="1" ht="51" customHeight="1">
      <c r="A51" s="550" t="s">
        <v>903</v>
      </c>
      <c r="B51" s="88"/>
      <c r="C51" s="23" t="s">
        <v>375</v>
      </c>
      <c r="D51" s="23" t="s">
        <v>1182</v>
      </c>
      <c r="E51" s="23" t="s">
        <v>576</v>
      </c>
      <c r="F51" s="490" t="s">
        <v>345</v>
      </c>
      <c r="G51" s="490" t="s">
        <v>346</v>
      </c>
      <c r="H51" s="490" t="s">
        <v>324</v>
      </c>
      <c r="I51" s="490" t="s">
        <v>1251</v>
      </c>
      <c r="J51" s="490" t="s">
        <v>70</v>
      </c>
      <c r="K51" s="489" t="s">
        <v>64</v>
      </c>
      <c r="L51" s="115" t="s">
        <v>43</v>
      </c>
      <c r="M51" s="212" t="s">
        <v>36</v>
      </c>
      <c r="N51" s="137">
        <v>1018.2</v>
      </c>
      <c r="O51" s="137">
        <v>1018.084</v>
      </c>
      <c r="P51" s="137">
        <v>1273.2</v>
      </c>
      <c r="Q51" s="137">
        <v>1688.45</v>
      </c>
      <c r="R51" s="137">
        <v>1688.45</v>
      </c>
    </row>
    <row r="52" spans="1:18" s="166" customFormat="1" ht="80.25" customHeight="1">
      <c r="A52" s="550"/>
      <c r="B52" s="88" t="s">
        <v>347</v>
      </c>
      <c r="C52" s="23"/>
      <c r="D52" s="23"/>
      <c r="E52" s="23"/>
      <c r="F52" s="490"/>
      <c r="G52" s="490"/>
      <c r="H52" s="490"/>
      <c r="I52" s="490"/>
      <c r="J52" s="490"/>
      <c r="K52" s="489"/>
      <c r="L52" s="116"/>
      <c r="M52" s="213"/>
      <c r="N52" s="180">
        <v>1940.6</v>
      </c>
      <c r="O52" s="180">
        <v>1610.796</v>
      </c>
      <c r="P52" s="180">
        <v>4221.5</v>
      </c>
      <c r="Q52" s="180">
        <v>3631.7</v>
      </c>
      <c r="R52" s="180">
        <v>3631.7</v>
      </c>
    </row>
    <row r="53" spans="1:18" s="283" customFormat="1" ht="96.75" customHeight="1">
      <c r="A53" s="87" t="s">
        <v>1125</v>
      </c>
      <c r="B53" s="88" t="s">
        <v>526</v>
      </c>
      <c r="C53" s="23" t="s">
        <v>375</v>
      </c>
      <c r="D53" s="23" t="s">
        <v>363</v>
      </c>
      <c r="E53" s="23" t="s">
        <v>344</v>
      </c>
      <c r="F53" s="23" t="s">
        <v>1100</v>
      </c>
      <c r="G53" s="23" t="s">
        <v>72</v>
      </c>
      <c r="H53" s="23" t="s">
        <v>1101</v>
      </c>
      <c r="I53" s="23" t="s">
        <v>1322</v>
      </c>
      <c r="J53" s="23" t="s">
        <v>70</v>
      </c>
      <c r="K53" s="26" t="s">
        <v>1323</v>
      </c>
      <c r="L53" s="323" t="s">
        <v>43</v>
      </c>
      <c r="M53" s="324" t="s">
        <v>36</v>
      </c>
      <c r="N53" s="161">
        <v>1098.7</v>
      </c>
      <c r="O53" s="161">
        <v>1098.7</v>
      </c>
      <c r="P53" s="161">
        <v>863.7</v>
      </c>
      <c r="Q53" s="161">
        <v>0</v>
      </c>
      <c r="R53" s="161">
        <v>0</v>
      </c>
    </row>
    <row r="54" spans="1:18" s="283" customFormat="1" ht="111" customHeight="1">
      <c r="A54" s="87" t="s">
        <v>1126</v>
      </c>
      <c r="B54" s="88" t="s">
        <v>359</v>
      </c>
      <c r="C54" s="23" t="s">
        <v>375</v>
      </c>
      <c r="D54" s="23" t="s">
        <v>360</v>
      </c>
      <c r="E54" s="23" t="s">
        <v>362</v>
      </c>
      <c r="F54" s="23" t="s">
        <v>1102</v>
      </c>
      <c r="G54" s="26" t="s">
        <v>1103</v>
      </c>
      <c r="H54" s="23" t="s">
        <v>324</v>
      </c>
      <c r="I54" s="23" t="s">
        <v>1183</v>
      </c>
      <c r="J54" s="23" t="s">
        <v>70</v>
      </c>
      <c r="K54" s="26" t="s">
        <v>465</v>
      </c>
      <c r="L54" s="121" t="s">
        <v>43</v>
      </c>
      <c r="M54" s="220" t="s">
        <v>36</v>
      </c>
      <c r="N54" s="180">
        <v>1407</v>
      </c>
      <c r="O54" s="180">
        <v>1406.16</v>
      </c>
      <c r="P54" s="180">
        <v>1249.94</v>
      </c>
      <c r="Q54" s="180">
        <v>0</v>
      </c>
      <c r="R54" s="180">
        <v>0</v>
      </c>
    </row>
    <row r="55" spans="1:18" s="283" customFormat="1" ht="144" customHeight="1">
      <c r="A55" s="87" t="s">
        <v>1127</v>
      </c>
      <c r="B55" s="88" t="s">
        <v>361</v>
      </c>
      <c r="C55" s="23" t="s">
        <v>375</v>
      </c>
      <c r="D55" s="23" t="s">
        <v>360</v>
      </c>
      <c r="E55" s="23" t="s">
        <v>344</v>
      </c>
      <c r="F55" s="23" t="s">
        <v>1104</v>
      </c>
      <c r="G55" s="26" t="s">
        <v>70</v>
      </c>
      <c r="H55" s="23" t="s">
        <v>453</v>
      </c>
      <c r="I55" s="23" t="s">
        <v>477</v>
      </c>
      <c r="J55" s="23" t="s">
        <v>70</v>
      </c>
      <c r="K55" s="26" t="s">
        <v>123</v>
      </c>
      <c r="L55" s="121" t="s">
        <v>43</v>
      </c>
      <c r="M55" s="220" t="s">
        <v>36</v>
      </c>
      <c r="N55" s="180">
        <v>593.56</v>
      </c>
      <c r="O55" s="180">
        <v>529.914</v>
      </c>
      <c r="P55" s="180">
        <v>562.131</v>
      </c>
      <c r="Q55" s="180">
        <v>562.1</v>
      </c>
      <c r="R55" s="180">
        <v>562.1</v>
      </c>
    </row>
    <row r="56" spans="1:18" s="283" customFormat="1" ht="37.5" customHeight="1">
      <c r="A56" s="550" t="s">
        <v>1274</v>
      </c>
      <c r="B56" s="88" t="s">
        <v>1273</v>
      </c>
      <c r="C56" s="23"/>
      <c r="D56" s="23"/>
      <c r="E56" s="23"/>
      <c r="F56" s="23"/>
      <c r="G56" s="26"/>
      <c r="H56" s="23"/>
      <c r="I56" s="490" t="s">
        <v>1349</v>
      </c>
      <c r="J56" s="490" t="s">
        <v>70</v>
      </c>
      <c r="K56" s="489" t="s">
        <v>1348</v>
      </c>
      <c r="L56" s="88" t="s">
        <v>43</v>
      </c>
      <c r="M56" s="88" t="s">
        <v>36</v>
      </c>
      <c r="N56" s="137">
        <v>0</v>
      </c>
      <c r="O56" s="137">
        <v>0</v>
      </c>
      <c r="P56" s="137">
        <f>3104.58189/2</f>
        <v>1552.290945</v>
      </c>
      <c r="Q56" s="137">
        <v>0</v>
      </c>
      <c r="R56" s="137">
        <v>0</v>
      </c>
    </row>
    <row r="57" spans="1:18" s="283" customFormat="1" ht="37.5" customHeight="1">
      <c r="A57" s="550"/>
      <c r="B57" s="88" t="s">
        <v>1269</v>
      </c>
      <c r="C57" s="23"/>
      <c r="D57" s="23"/>
      <c r="E57" s="23"/>
      <c r="F57" s="23"/>
      <c r="G57" s="26"/>
      <c r="H57" s="23"/>
      <c r="I57" s="490"/>
      <c r="J57" s="490"/>
      <c r="K57" s="489"/>
      <c r="L57" s="88" t="s">
        <v>43</v>
      </c>
      <c r="M57" s="88" t="s">
        <v>36</v>
      </c>
      <c r="N57" s="137">
        <v>0</v>
      </c>
      <c r="O57" s="137">
        <v>0</v>
      </c>
      <c r="P57" s="137">
        <f>96.01811/2</f>
        <v>48.009055</v>
      </c>
      <c r="Q57" s="137">
        <v>0</v>
      </c>
      <c r="R57" s="137">
        <v>0</v>
      </c>
    </row>
    <row r="58" spans="1:18" s="283" customFormat="1" ht="45" customHeight="1">
      <c r="A58" s="550" t="s">
        <v>1270</v>
      </c>
      <c r="B58" s="88" t="s">
        <v>1271</v>
      </c>
      <c r="C58" s="23"/>
      <c r="D58" s="23"/>
      <c r="E58" s="23"/>
      <c r="F58" s="23"/>
      <c r="G58" s="26"/>
      <c r="H58" s="23"/>
      <c r="I58" s="490" t="s">
        <v>1347</v>
      </c>
      <c r="J58" s="490" t="s">
        <v>70</v>
      </c>
      <c r="K58" s="489" t="s">
        <v>1348</v>
      </c>
      <c r="L58" s="88" t="s">
        <v>43</v>
      </c>
      <c r="M58" s="88" t="s">
        <v>36</v>
      </c>
      <c r="N58" s="137">
        <v>0</v>
      </c>
      <c r="O58" s="137">
        <v>0</v>
      </c>
      <c r="P58" s="137">
        <f>2182.59694/2</f>
        <v>1091.29847</v>
      </c>
      <c r="Q58" s="137">
        <v>0</v>
      </c>
      <c r="R58" s="137">
        <v>0</v>
      </c>
    </row>
    <row r="59" spans="1:18" s="283" customFormat="1" ht="39" customHeight="1">
      <c r="A59" s="550"/>
      <c r="B59" s="88" t="s">
        <v>1272</v>
      </c>
      <c r="C59" s="23"/>
      <c r="D59" s="23"/>
      <c r="E59" s="23"/>
      <c r="F59" s="23"/>
      <c r="G59" s="26"/>
      <c r="H59" s="23"/>
      <c r="I59" s="490"/>
      <c r="J59" s="490"/>
      <c r="K59" s="489"/>
      <c r="L59" s="88" t="s">
        <v>43</v>
      </c>
      <c r="M59" s="218" t="s">
        <v>36</v>
      </c>
      <c r="N59" s="137">
        <v>0</v>
      </c>
      <c r="O59" s="137">
        <v>0</v>
      </c>
      <c r="P59" s="137">
        <f>67.50306/2</f>
        <v>33.75153</v>
      </c>
      <c r="Q59" s="137">
        <v>0</v>
      </c>
      <c r="R59" s="137">
        <v>0</v>
      </c>
    </row>
    <row r="60" spans="1:18" s="283" customFormat="1" ht="74.25" customHeight="1">
      <c r="A60" s="87" t="s">
        <v>1275</v>
      </c>
      <c r="B60" s="88"/>
      <c r="C60" s="23" t="s">
        <v>376</v>
      </c>
      <c r="D60" s="23" t="s">
        <v>341</v>
      </c>
      <c r="E60" s="23" t="s">
        <v>61</v>
      </c>
      <c r="F60" s="23" t="s">
        <v>374</v>
      </c>
      <c r="G60" s="23" t="s">
        <v>342</v>
      </c>
      <c r="H60" s="23" t="s">
        <v>241</v>
      </c>
      <c r="I60" s="23" t="s">
        <v>1184</v>
      </c>
      <c r="J60" s="23" t="s">
        <v>147</v>
      </c>
      <c r="K60" s="23" t="s">
        <v>148</v>
      </c>
      <c r="L60" s="325" t="s">
        <v>43</v>
      </c>
      <c r="M60" s="326" t="s">
        <v>36</v>
      </c>
      <c r="N60" s="138">
        <v>448.7</v>
      </c>
      <c r="O60" s="138">
        <v>448.7</v>
      </c>
      <c r="P60" s="138">
        <v>986.4</v>
      </c>
      <c r="Q60" s="138">
        <v>528</v>
      </c>
      <c r="R60" s="138">
        <v>528</v>
      </c>
    </row>
    <row r="61" spans="1:18" s="283" customFormat="1" ht="72">
      <c r="A61" s="87" t="s">
        <v>1276</v>
      </c>
      <c r="B61" s="88"/>
      <c r="C61" s="23" t="s">
        <v>376</v>
      </c>
      <c r="D61" s="23" t="s">
        <v>341</v>
      </c>
      <c r="E61" s="23" t="s">
        <v>61</v>
      </c>
      <c r="F61" s="23" t="s">
        <v>374</v>
      </c>
      <c r="G61" s="23" t="s">
        <v>342</v>
      </c>
      <c r="H61" s="23" t="s">
        <v>241</v>
      </c>
      <c r="I61" s="23" t="s">
        <v>1328</v>
      </c>
      <c r="J61" s="23" t="s">
        <v>70</v>
      </c>
      <c r="K61" s="26" t="s">
        <v>466</v>
      </c>
      <c r="L61" s="118" t="s">
        <v>43</v>
      </c>
      <c r="M61" s="219" t="s">
        <v>36</v>
      </c>
      <c r="N61" s="180">
        <v>13485.22523</v>
      </c>
      <c r="O61" s="180">
        <v>13485.22523</v>
      </c>
      <c r="P61" s="180">
        <v>451.45</v>
      </c>
      <c r="Q61" s="180">
        <v>695.2</v>
      </c>
      <c r="R61" s="180">
        <v>695.2</v>
      </c>
    </row>
    <row r="62" spans="1:18" s="283" customFormat="1" ht="84">
      <c r="A62" s="87"/>
      <c r="B62" s="88"/>
      <c r="C62" s="23"/>
      <c r="D62" s="23"/>
      <c r="E62" s="23"/>
      <c r="F62" s="23"/>
      <c r="G62" s="23"/>
      <c r="H62" s="23"/>
      <c r="I62" s="23" t="s">
        <v>1107</v>
      </c>
      <c r="J62" s="23" t="s">
        <v>70</v>
      </c>
      <c r="K62" s="26" t="s">
        <v>324</v>
      </c>
      <c r="L62" s="88"/>
      <c r="M62" s="218"/>
      <c r="N62" s="290"/>
      <c r="O62" s="290"/>
      <c r="P62" s="290"/>
      <c r="Q62" s="290"/>
      <c r="R62" s="290"/>
    </row>
    <row r="63" spans="1:18" s="283" customFormat="1" ht="39" customHeight="1">
      <c r="A63" s="87"/>
      <c r="B63" s="88"/>
      <c r="C63" s="23"/>
      <c r="D63" s="23"/>
      <c r="E63" s="23"/>
      <c r="F63" s="23"/>
      <c r="G63" s="23"/>
      <c r="H63" s="23"/>
      <c r="I63" s="23" t="s">
        <v>759</v>
      </c>
      <c r="J63" s="23" t="s">
        <v>70</v>
      </c>
      <c r="K63" s="26" t="s">
        <v>760</v>
      </c>
      <c r="L63" s="88"/>
      <c r="M63" s="218"/>
      <c r="N63" s="290"/>
      <c r="O63" s="290"/>
      <c r="P63" s="290"/>
      <c r="Q63" s="290"/>
      <c r="R63" s="290"/>
    </row>
    <row r="64" spans="1:18" s="283" customFormat="1" ht="59.25" customHeight="1">
      <c r="A64" s="87"/>
      <c r="B64" s="88"/>
      <c r="C64" s="23"/>
      <c r="D64" s="23"/>
      <c r="E64" s="23"/>
      <c r="F64" s="23"/>
      <c r="G64" s="23"/>
      <c r="H64" s="23"/>
      <c r="I64" s="23" t="s">
        <v>1106</v>
      </c>
      <c r="J64" s="23" t="s">
        <v>70</v>
      </c>
      <c r="K64" s="26" t="s">
        <v>482</v>
      </c>
      <c r="L64" s="88"/>
      <c r="M64" s="218"/>
      <c r="N64" s="290"/>
      <c r="O64" s="290"/>
      <c r="P64" s="290"/>
      <c r="Q64" s="290"/>
      <c r="R64" s="290"/>
    </row>
    <row r="65" spans="1:18" s="283" customFormat="1" ht="70.5" customHeight="1">
      <c r="A65" s="87"/>
      <c r="B65" s="88"/>
      <c r="C65" s="63"/>
      <c r="D65" s="63"/>
      <c r="E65" s="63"/>
      <c r="F65" s="63"/>
      <c r="G65" s="63"/>
      <c r="H65" s="63"/>
      <c r="I65" s="23" t="s">
        <v>1105</v>
      </c>
      <c r="J65" s="23" t="s">
        <v>70</v>
      </c>
      <c r="K65" s="23" t="s">
        <v>548</v>
      </c>
      <c r="L65" s="88"/>
      <c r="M65" s="88"/>
      <c r="N65" s="290"/>
      <c r="O65" s="290"/>
      <c r="P65" s="290"/>
      <c r="Q65" s="290"/>
      <c r="R65" s="290"/>
    </row>
    <row r="66" spans="1:18" s="283" customFormat="1" ht="26.25" customHeight="1">
      <c r="A66" s="87" t="s">
        <v>1277</v>
      </c>
      <c r="B66" s="284"/>
      <c r="C66" s="481"/>
      <c r="D66" s="481"/>
      <c r="E66" s="481"/>
      <c r="F66" s="23"/>
      <c r="G66" s="481"/>
      <c r="H66" s="481"/>
      <c r="I66" s="481"/>
      <c r="J66" s="481"/>
      <c r="K66" s="481"/>
      <c r="L66" s="284"/>
      <c r="M66" s="284"/>
      <c r="N66" s="290"/>
      <c r="O66" s="290"/>
      <c r="P66" s="290"/>
      <c r="Q66" s="290"/>
      <c r="R66" s="290"/>
    </row>
    <row r="67" spans="1:18" s="283" customFormat="1" ht="60">
      <c r="A67" s="87"/>
      <c r="B67" s="88" t="s">
        <v>497</v>
      </c>
      <c r="C67" s="481"/>
      <c r="D67" s="481"/>
      <c r="E67" s="481"/>
      <c r="F67" s="23"/>
      <c r="G67" s="481"/>
      <c r="H67" s="481"/>
      <c r="I67" s="63" t="s">
        <v>1245</v>
      </c>
      <c r="J67" s="63" t="s">
        <v>70</v>
      </c>
      <c r="K67" s="63" t="s">
        <v>1246</v>
      </c>
      <c r="L67" s="88" t="s">
        <v>43</v>
      </c>
      <c r="M67" s="88" t="s">
        <v>36</v>
      </c>
      <c r="N67" s="137">
        <v>0</v>
      </c>
      <c r="O67" s="137">
        <v>0</v>
      </c>
      <c r="P67" s="137">
        <v>85.7</v>
      </c>
      <c r="Q67" s="137">
        <v>0</v>
      </c>
      <c r="R67" s="137">
        <v>0</v>
      </c>
    </row>
    <row r="68" spans="1:18" s="283" customFormat="1" ht="60">
      <c r="A68" s="293"/>
      <c r="B68" s="88" t="s">
        <v>509</v>
      </c>
      <c r="C68" s="63"/>
      <c r="D68" s="63"/>
      <c r="E68" s="63"/>
      <c r="F68" s="63"/>
      <c r="G68" s="63"/>
      <c r="H68" s="63"/>
      <c r="I68" s="23" t="s">
        <v>1354</v>
      </c>
      <c r="J68" s="406" t="s">
        <v>70</v>
      </c>
      <c r="K68" s="406" t="s">
        <v>1355</v>
      </c>
      <c r="L68" s="88" t="s">
        <v>43</v>
      </c>
      <c r="M68" s="88" t="s">
        <v>36</v>
      </c>
      <c r="N68" s="137">
        <v>218.42</v>
      </c>
      <c r="O68" s="137">
        <v>218</v>
      </c>
      <c r="P68" s="137">
        <v>26.297</v>
      </c>
      <c r="Q68" s="137">
        <v>0</v>
      </c>
      <c r="R68" s="137">
        <v>0</v>
      </c>
    </row>
    <row r="69" spans="1:18" s="283" customFormat="1" ht="60">
      <c r="A69" s="293"/>
      <c r="B69" s="88" t="s">
        <v>517</v>
      </c>
      <c r="C69" s="63"/>
      <c r="D69" s="63"/>
      <c r="E69" s="63"/>
      <c r="F69" s="63"/>
      <c r="G69" s="63"/>
      <c r="H69" s="63"/>
      <c r="I69" s="23" t="s">
        <v>679</v>
      </c>
      <c r="J69" s="23" t="s">
        <v>70</v>
      </c>
      <c r="K69" s="23" t="s">
        <v>931</v>
      </c>
      <c r="L69" s="115" t="s">
        <v>43</v>
      </c>
      <c r="M69" s="212" t="s">
        <v>36</v>
      </c>
      <c r="N69" s="137">
        <v>8</v>
      </c>
      <c r="O69" s="137">
        <v>8</v>
      </c>
      <c r="P69" s="137">
        <v>0</v>
      </c>
      <c r="Q69" s="137">
        <v>0</v>
      </c>
      <c r="R69" s="137">
        <v>0</v>
      </c>
    </row>
    <row r="70" spans="1:18" s="283" customFormat="1" ht="60">
      <c r="A70" s="293"/>
      <c r="B70" s="88" t="s">
        <v>518</v>
      </c>
      <c r="C70" s="481"/>
      <c r="D70" s="481"/>
      <c r="E70" s="481"/>
      <c r="F70" s="481"/>
      <c r="G70" s="481"/>
      <c r="H70" s="481"/>
      <c r="I70" s="23" t="s">
        <v>665</v>
      </c>
      <c r="J70" s="23" t="s">
        <v>70</v>
      </c>
      <c r="K70" s="23" t="s">
        <v>666</v>
      </c>
      <c r="L70" s="115" t="s">
        <v>43</v>
      </c>
      <c r="M70" s="212" t="s">
        <v>36</v>
      </c>
      <c r="N70" s="137">
        <v>95</v>
      </c>
      <c r="O70" s="137">
        <v>95</v>
      </c>
      <c r="P70" s="137">
        <v>0</v>
      </c>
      <c r="Q70" s="137">
        <v>0</v>
      </c>
      <c r="R70" s="137">
        <v>0</v>
      </c>
    </row>
    <row r="71" spans="1:18" s="166" customFormat="1" ht="48">
      <c r="A71" s="87"/>
      <c r="B71" s="88" t="s">
        <v>565</v>
      </c>
      <c r="C71" s="63"/>
      <c r="D71" s="63"/>
      <c r="E71" s="63"/>
      <c r="F71" s="63"/>
      <c r="G71" s="63"/>
      <c r="H71" s="63"/>
      <c r="I71" s="23" t="s">
        <v>932</v>
      </c>
      <c r="J71" s="23" t="s">
        <v>70</v>
      </c>
      <c r="K71" s="23" t="s">
        <v>933</v>
      </c>
      <c r="L71" s="115" t="s">
        <v>43</v>
      </c>
      <c r="M71" s="212" t="s">
        <v>36</v>
      </c>
      <c r="N71" s="137">
        <f>73+100</f>
        <v>173</v>
      </c>
      <c r="O71" s="137">
        <f>73+100</f>
        <v>173</v>
      </c>
      <c r="P71" s="137">
        <v>0</v>
      </c>
      <c r="Q71" s="137">
        <v>0</v>
      </c>
      <c r="R71" s="137">
        <v>0</v>
      </c>
    </row>
    <row r="72" spans="1:18" s="166" customFormat="1" ht="146.25" customHeight="1">
      <c r="A72" s="318" t="s">
        <v>798</v>
      </c>
      <c r="B72" s="242" t="s">
        <v>663</v>
      </c>
      <c r="C72" s="319"/>
      <c r="D72" s="319"/>
      <c r="E72" s="319"/>
      <c r="F72" s="319"/>
      <c r="G72" s="319"/>
      <c r="H72" s="320"/>
      <c r="I72" s="319"/>
      <c r="J72" s="319"/>
      <c r="K72" s="320"/>
      <c r="L72" s="321"/>
      <c r="M72" s="321"/>
      <c r="N72" s="329">
        <f>SUM(N73:N93)</f>
        <v>50423.192</v>
      </c>
      <c r="O72" s="329">
        <f>SUM(O73:O93)</f>
        <v>49708.402</v>
      </c>
      <c r="P72" s="329">
        <f>SUM(P73:P93)</f>
        <v>70329.38754000003</v>
      </c>
      <c r="Q72" s="329">
        <f>SUM(Q73:Q93)</f>
        <v>43284.649999999994</v>
      </c>
      <c r="R72" s="329">
        <f>SUM(R73:R93)</f>
        <v>43284.649999999994</v>
      </c>
    </row>
    <row r="73" spans="1:18" s="283" customFormat="1" ht="156" customHeight="1">
      <c r="A73" s="559" t="s">
        <v>1128</v>
      </c>
      <c r="B73" s="544"/>
      <c r="C73" s="22" t="s">
        <v>376</v>
      </c>
      <c r="D73" s="22" t="s">
        <v>368</v>
      </c>
      <c r="E73" s="22" t="s">
        <v>61</v>
      </c>
      <c r="F73" s="22" t="s">
        <v>374</v>
      </c>
      <c r="G73" s="22" t="s">
        <v>369</v>
      </c>
      <c r="H73" s="22" t="s">
        <v>241</v>
      </c>
      <c r="I73" s="23" t="s">
        <v>1252</v>
      </c>
      <c r="J73" s="23" t="s">
        <v>70</v>
      </c>
      <c r="K73" s="23" t="s">
        <v>469</v>
      </c>
      <c r="L73" s="113" t="s">
        <v>43</v>
      </c>
      <c r="M73" s="217" t="s">
        <v>36</v>
      </c>
      <c r="N73" s="135">
        <f>37807.158+2398.992+1475.74</f>
        <v>41681.89</v>
      </c>
      <c r="O73" s="135">
        <f>37612.729+2398.992+1455.324</f>
        <v>41467.045</v>
      </c>
      <c r="P73" s="135">
        <f>44758.09354+99+6939.165</f>
        <v>51796.25854</v>
      </c>
      <c r="Q73" s="135">
        <v>36813.6</v>
      </c>
      <c r="R73" s="135">
        <v>36813.6</v>
      </c>
    </row>
    <row r="74" spans="1:18" s="283" customFormat="1" ht="60">
      <c r="A74" s="550"/>
      <c r="B74" s="545"/>
      <c r="C74" s="308"/>
      <c r="D74" s="308"/>
      <c r="E74" s="308"/>
      <c r="F74" s="288"/>
      <c r="G74" s="288"/>
      <c r="H74" s="288"/>
      <c r="I74" s="63" t="s">
        <v>343</v>
      </c>
      <c r="J74" s="63" t="s">
        <v>70</v>
      </c>
      <c r="K74" s="63" t="s">
        <v>353</v>
      </c>
      <c r="L74" s="284"/>
      <c r="M74" s="289"/>
      <c r="N74" s="290"/>
      <c r="O74" s="290"/>
      <c r="P74" s="290"/>
      <c r="Q74" s="290"/>
      <c r="R74" s="290"/>
    </row>
    <row r="75" spans="1:18" s="283" customFormat="1" ht="60">
      <c r="A75" s="550"/>
      <c r="B75" s="545"/>
      <c r="C75" s="23" t="s">
        <v>375</v>
      </c>
      <c r="D75" s="23" t="s">
        <v>1108</v>
      </c>
      <c r="E75" s="23" t="s">
        <v>576</v>
      </c>
      <c r="F75" s="288"/>
      <c r="G75" s="288"/>
      <c r="H75" s="288"/>
      <c r="I75" s="63" t="s">
        <v>558</v>
      </c>
      <c r="J75" s="63" t="s">
        <v>70</v>
      </c>
      <c r="K75" s="63" t="s">
        <v>559</v>
      </c>
      <c r="L75" s="481"/>
      <c r="M75" s="282"/>
      <c r="N75" s="290"/>
      <c r="O75" s="290"/>
      <c r="P75" s="290"/>
      <c r="Q75" s="290"/>
      <c r="R75" s="290"/>
    </row>
    <row r="76" spans="1:18" s="283" customFormat="1" ht="48">
      <c r="A76" s="310"/>
      <c r="B76" s="481"/>
      <c r="C76" s="23"/>
      <c r="D76" s="23"/>
      <c r="E76" s="23"/>
      <c r="F76" s="23"/>
      <c r="G76" s="23"/>
      <c r="H76" s="23"/>
      <c r="I76" s="23" t="s">
        <v>94</v>
      </c>
      <c r="J76" s="23" t="s">
        <v>70</v>
      </c>
      <c r="K76" s="26" t="s">
        <v>73</v>
      </c>
      <c r="L76" s="481"/>
      <c r="M76" s="481"/>
      <c r="N76" s="290"/>
      <c r="O76" s="290"/>
      <c r="P76" s="290"/>
      <c r="Q76" s="290"/>
      <c r="R76" s="290"/>
    </row>
    <row r="77" spans="1:18" s="166" customFormat="1" ht="51" customHeight="1">
      <c r="A77" s="550" t="s">
        <v>1129</v>
      </c>
      <c r="B77" s="88"/>
      <c r="C77" s="23" t="s">
        <v>375</v>
      </c>
      <c r="D77" s="23" t="s">
        <v>1182</v>
      </c>
      <c r="E77" s="23" t="s">
        <v>576</v>
      </c>
      <c r="F77" s="490" t="s">
        <v>345</v>
      </c>
      <c r="G77" s="490" t="s">
        <v>346</v>
      </c>
      <c r="H77" s="490" t="s">
        <v>324</v>
      </c>
      <c r="I77" s="490" t="s">
        <v>1251</v>
      </c>
      <c r="J77" s="490" t="s">
        <v>70</v>
      </c>
      <c r="K77" s="489" t="s">
        <v>64</v>
      </c>
      <c r="L77" s="115" t="s">
        <v>43</v>
      </c>
      <c r="M77" s="212" t="s">
        <v>36</v>
      </c>
      <c r="N77" s="137">
        <v>831.25</v>
      </c>
      <c r="O77" s="137">
        <v>826.19</v>
      </c>
      <c r="P77" s="137">
        <v>916.8</v>
      </c>
      <c r="Q77" s="137">
        <v>1217.85</v>
      </c>
      <c r="R77" s="137">
        <v>1217.85</v>
      </c>
    </row>
    <row r="78" spans="1:18" s="166" customFormat="1" ht="81" customHeight="1">
      <c r="A78" s="550"/>
      <c r="B78" s="88" t="s">
        <v>347</v>
      </c>
      <c r="C78" s="23"/>
      <c r="D78" s="23"/>
      <c r="E78" s="23"/>
      <c r="F78" s="490"/>
      <c r="G78" s="490"/>
      <c r="H78" s="490"/>
      <c r="I78" s="490"/>
      <c r="J78" s="490"/>
      <c r="K78" s="489"/>
      <c r="L78" s="116"/>
      <c r="M78" s="213"/>
      <c r="N78" s="180">
        <v>1418.5</v>
      </c>
      <c r="O78" s="180">
        <v>1268.1</v>
      </c>
      <c r="P78" s="180">
        <v>3041.9</v>
      </c>
      <c r="Q78" s="180">
        <v>3631.7</v>
      </c>
      <c r="R78" s="180">
        <v>3631.7</v>
      </c>
    </row>
    <row r="79" spans="1:18" s="283" customFormat="1" ht="60.75" customHeight="1">
      <c r="A79" s="87" t="s">
        <v>1130</v>
      </c>
      <c r="B79" s="88" t="s">
        <v>361</v>
      </c>
      <c r="C79" s="23" t="s">
        <v>375</v>
      </c>
      <c r="D79" s="23" t="s">
        <v>360</v>
      </c>
      <c r="E79" s="23" t="s">
        <v>362</v>
      </c>
      <c r="F79" s="23" t="s">
        <v>1102</v>
      </c>
      <c r="G79" s="26" t="s">
        <v>1103</v>
      </c>
      <c r="H79" s="23" t="s">
        <v>324</v>
      </c>
      <c r="I79" s="23" t="s">
        <v>477</v>
      </c>
      <c r="J79" s="23" t="s">
        <v>70</v>
      </c>
      <c r="K79" s="26" t="s">
        <v>123</v>
      </c>
      <c r="L79" s="121" t="s">
        <v>43</v>
      </c>
      <c r="M79" s="220" t="s">
        <v>36</v>
      </c>
      <c r="N79" s="180">
        <v>922.44</v>
      </c>
      <c r="O79" s="180">
        <v>851.499</v>
      </c>
      <c r="P79" s="180">
        <v>984.869</v>
      </c>
      <c r="Q79" s="180">
        <v>984.9</v>
      </c>
      <c r="R79" s="180">
        <v>984.9</v>
      </c>
    </row>
    <row r="80" spans="1:18" s="283" customFormat="1" ht="111" customHeight="1">
      <c r="A80" s="87" t="s">
        <v>1305</v>
      </c>
      <c r="B80" s="88" t="s">
        <v>359</v>
      </c>
      <c r="C80" s="23" t="s">
        <v>375</v>
      </c>
      <c r="D80" s="23" t="s">
        <v>360</v>
      </c>
      <c r="E80" s="23" t="s">
        <v>362</v>
      </c>
      <c r="F80" s="23" t="s">
        <v>1102</v>
      </c>
      <c r="G80" s="26" t="s">
        <v>1103</v>
      </c>
      <c r="H80" s="23" t="s">
        <v>324</v>
      </c>
      <c r="I80" s="23" t="s">
        <v>1183</v>
      </c>
      <c r="J80" s="23" t="s">
        <v>70</v>
      </c>
      <c r="K80" s="26" t="s">
        <v>465</v>
      </c>
      <c r="L80" s="121" t="s">
        <v>43</v>
      </c>
      <c r="M80" s="220" t="s">
        <v>36</v>
      </c>
      <c r="N80" s="180">
        <v>0</v>
      </c>
      <c r="O80" s="180">
        <v>0</v>
      </c>
      <c r="P80" s="180">
        <v>156.26</v>
      </c>
      <c r="Q80" s="180">
        <v>0</v>
      </c>
      <c r="R80" s="180">
        <v>0</v>
      </c>
    </row>
    <row r="81" spans="1:18" s="283" customFormat="1" ht="37.5" customHeight="1">
      <c r="A81" s="550" t="s">
        <v>1306</v>
      </c>
      <c r="B81" s="88" t="s">
        <v>1273</v>
      </c>
      <c r="C81" s="23"/>
      <c r="D81" s="23"/>
      <c r="E81" s="23"/>
      <c r="F81" s="23"/>
      <c r="G81" s="26"/>
      <c r="H81" s="23"/>
      <c r="I81" s="490" t="s">
        <v>1349</v>
      </c>
      <c r="J81" s="490" t="s">
        <v>70</v>
      </c>
      <c r="K81" s="489" t="s">
        <v>1348</v>
      </c>
      <c r="L81" s="88" t="s">
        <v>43</v>
      </c>
      <c r="M81" s="88" t="s">
        <v>36</v>
      </c>
      <c r="N81" s="137">
        <v>0</v>
      </c>
      <c r="O81" s="137">
        <v>0</v>
      </c>
      <c r="P81" s="137">
        <f>3104.58189/2</f>
        <v>1552.290945</v>
      </c>
      <c r="Q81" s="137">
        <v>0</v>
      </c>
      <c r="R81" s="137">
        <v>0</v>
      </c>
    </row>
    <row r="82" spans="1:18" s="283" customFormat="1" ht="37.5" customHeight="1">
      <c r="A82" s="550"/>
      <c r="B82" s="88" t="s">
        <v>1269</v>
      </c>
      <c r="C82" s="23"/>
      <c r="D82" s="23"/>
      <c r="E82" s="23"/>
      <c r="F82" s="23"/>
      <c r="G82" s="26"/>
      <c r="H82" s="23"/>
      <c r="I82" s="490"/>
      <c r="J82" s="490"/>
      <c r="K82" s="489"/>
      <c r="L82" s="88" t="s">
        <v>43</v>
      </c>
      <c r="M82" s="88" t="s">
        <v>36</v>
      </c>
      <c r="N82" s="137">
        <v>0</v>
      </c>
      <c r="O82" s="137">
        <v>0</v>
      </c>
      <c r="P82" s="137">
        <f>96.01811/2</f>
        <v>48.009055</v>
      </c>
      <c r="Q82" s="137">
        <v>0</v>
      </c>
      <c r="R82" s="137">
        <v>0</v>
      </c>
    </row>
    <row r="83" spans="1:18" s="283" customFormat="1" ht="45" customHeight="1">
      <c r="A83" s="550" t="s">
        <v>1307</v>
      </c>
      <c r="B83" s="88" t="s">
        <v>1271</v>
      </c>
      <c r="C83" s="23"/>
      <c r="D83" s="23"/>
      <c r="E83" s="23"/>
      <c r="F83" s="23"/>
      <c r="G83" s="26"/>
      <c r="H83" s="23"/>
      <c r="I83" s="490" t="s">
        <v>1347</v>
      </c>
      <c r="J83" s="490" t="s">
        <v>70</v>
      </c>
      <c r="K83" s="489" t="s">
        <v>1348</v>
      </c>
      <c r="L83" s="88" t="s">
        <v>43</v>
      </c>
      <c r="M83" s="88" t="s">
        <v>36</v>
      </c>
      <c r="N83" s="137">
        <v>0</v>
      </c>
      <c r="O83" s="137">
        <v>0</v>
      </c>
      <c r="P83" s="137">
        <f>2182.59694/2</f>
        <v>1091.29847</v>
      </c>
      <c r="Q83" s="137">
        <v>0</v>
      </c>
      <c r="R83" s="137">
        <v>0</v>
      </c>
    </row>
    <row r="84" spans="1:18" s="283" customFormat="1" ht="39" customHeight="1">
      <c r="A84" s="550"/>
      <c r="B84" s="88" t="s">
        <v>1272</v>
      </c>
      <c r="C84" s="23"/>
      <c r="D84" s="23"/>
      <c r="E84" s="23"/>
      <c r="F84" s="23"/>
      <c r="G84" s="26"/>
      <c r="H84" s="23"/>
      <c r="I84" s="490"/>
      <c r="J84" s="490"/>
      <c r="K84" s="489"/>
      <c r="L84" s="88" t="s">
        <v>43</v>
      </c>
      <c r="M84" s="218" t="s">
        <v>36</v>
      </c>
      <c r="N84" s="137">
        <v>0</v>
      </c>
      <c r="O84" s="137">
        <v>0</v>
      </c>
      <c r="P84" s="137">
        <f>67.50306/2</f>
        <v>33.75153</v>
      </c>
      <c r="Q84" s="137">
        <v>0</v>
      </c>
      <c r="R84" s="137">
        <v>0</v>
      </c>
    </row>
    <row r="85" spans="1:18" s="283" customFormat="1" ht="74.25" customHeight="1">
      <c r="A85" s="87" t="s">
        <v>1308</v>
      </c>
      <c r="B85" s="88"/>
      <c r="C85" s="23" t="s">
        <v>376</v>
      </c>
      <c r="D85" s="23" t="s">
        <v>341</v>
      </c>
      <c r="E85" s="23" t="s">
        <v>61</v>
      </c>
      <c r="F85" s="23" t="s">
        <v>374</v>
      </c>
      <c r="G85" s="23" t="s">
        <v>342</v>
      </c>
      <c r="H85" s="23" t="s">
        <v>241</v>
      </c>
      <c r="I85" s="23" t="s">
        <v>923</v>
      </c>
      <c r="J85" s="23" t="s">
        <v>147</v>
      </c>
      <c r="K85" s="23" t="s">
        <v>148</v>
      </c>
      <c r="L85" s="113" t="s">
        <v>43</v>
      </c>
      <c r="M85" s="113" t="s">
        <v>36</v>
      </c>
      <c r="N85" s="135">
        <v>321.35</v>
      </c>
      <c r="O85" s="135">
        <v>321.35</v>
      </c>
      <c r="P85" s="135">
        <v>163.4</v>
      </c>
      <c r="Q85" s="135">
        <v>428.9</v>
      </c>
      <c r="R85" s="135">
        <v>428.9</v>
      </c>
    </row>
    <row r="86" spans="1:18" s="283" customFormat="1" ht="72">
      <c r="A86" s="87" t="s">
        <v>1309</v>
      </c>
      <c r="B86" s="88"/>
      <c r="C86" s="23" t="s">
        <v>376</v>
      </c>
      <c r="D86" s="23" t="s">
        <v>341</v>
      </c>
      <c r="E86" s="23" t="s">
        <v>61</v>
      </c>
      <c r="F86" s="23" t="s">
        <v>374</v>
      </c>
      <c r="G86" s="23" t="s">
        <v>342</v>
      </c>
      <c r="H86" s="23" t="s">
        <v>241</v>
      </c>
      <c r="I86" s="23" t="s">
        <v>1328</v>
      </c>
      <c r="J86" s="23" t="s">
        <v>70</v>
      </c>
      <c r="K86" s="26" t="s">
        <v>466</v>
      </c>
      <c r="L86" s="118" t="s">
        <v>43</v>
      </c>
      <c r="M86" s="219" t="s">
        <v>36</v>
      </c>
      <c r="N86" s="180">
        <v>5217.762</v>
      </c>
      <c r="O86" s="180">
        <v>4944.218</v>
      </c>
      <c r="P86" s="180">
        <v>451.45</v>
      </c>
      <c r="Q86" s="180">
        <v>207.7</v>
      </c>
      <c r="R86" s="180">
        <v>207.7</v>
      </c>
    </row>
    <row r="87" spans="1:18" s="283" customFormat="1" ht="39" customHeight="1">
      <c r="A87" s="87"/>
      <c r="B87" s="88"/>
      <c r="C87" s="23"/>
      <c r="D87" s="23"/>
      <c r="E87" s="23"/>
      <c r="F87" s="23"/>
      <c r="G87" s="23"/>
      <c r="H87" s="23"/>
      <c r="I87" s="23" t="s">
        <v>759</v>
      </c>
      <c r="J87" s="23" t="s">
        <v>70</v>
      </c>
      <c r="K87" s="26" t="s">
        <v>760</v>
      </c>
      <c r="L87" s="284"/>
      <c r="M87" s="289"/>
      <c r="N87" s="290"/>
      <c r="O87" s="290"/>
      <c r="P87" s="290"/>
      <c r="Q87" s="290"/>
      <c r="R87" s="290"/>
    </row>
    <row r="88" spans="1:18" s="283" customFormat="1" ht="59.25" customHeight="1">
      <c r="A88" s="87"/>
      <c r="B88" s="88"/>
      <c r="C88" s="23"/>
      <c r="D88" s="23"/>
      <c r="E88" s="23"/>
      <c r="F88" s="23"/>
      <c r="G88" s="23"/>
      <c r="H88" s="23"/>
      <c r="I88" s="23" t="s">
        <v>1106</v>
      </c>
      <c r="J88" s="23" t="s">
        <v>70</v>
      </c>
      <c r="K88" s="26" t="s">
        <v>482</v>
      </c>
      <c r="L88" s="284"/>
      <c r="M88" s="289"/>
      <c r="N88" s="290"/>
      <c r="O88" s="290"/>
      <c r="P88" s="290"/>
      <c r="Q88" s="290"/>
      <c r="R88" s="290"/>
    </row>
    <row r="89" spans="1:18" s="283" customFormat="1" ht="75" customHeight="1">
      <c r="A89" s="87"/>
      <c r="B89" s="88"/>
      <c r="C89" s="63"/>
      <c r="D89" s="63"/>
      <c r="E89" s="63"/>
      <c r="F89" s="63"/>
      <c r="G89" s="63"/>
      <c r="H89" s="63"/>
      <c r="I89" s="23" t="s">
        <v>1109</v>
      </c>
      <c r="J89" s="23" t="s">
        <v>70</v>
      </c>
      <c r="K89" s="23" t="s">
        <v>548</v>
      </c>
      <c r="L89" s="295"/>
      <c r="M89" s="291"/>
      <c r="N89" s="290"/>
      <c r="O89" s="290"/>
      <c r="P89" s="290"/>
      <c r="Q89" s="290"/>
      <c r="R89" s="290"/>
    </row>
    <row r="90" spans="1:18" s="283" customFormat="1" ht="84.75" customHeight="1">
      <c r="A90" s="87" t="s">
        <v>1310</v>
      </c>
      <c r="B90" s="88" t="s">
        <v>1206</v>
      </c>
      <c r="C90" s="63"/>
      <c r="D90" s="63"/>
      <c r="E90" s="63"/>
      <c r="F90" s="63"/>
      <c r="G90" s="63"/>
      <c r="H90" s="63"/>
      <c r="I90" s="253" t="s">
        <v>464</v>
      </c>
      <c r="J90" s="253" t="s">
        <v>70</v>
      </c>
      <c r="K90" s="254" t="s">
        <v>355</v>
      </c>
      <c r="L90" s="151" t="s">
        <v>43</v>
      </c>
      <c r="M90" s="151" t="s">
        <v>36</v>
      </c>
      <c r="N90" s="161">
        <v>0</v>
      </c>
      <c r="O90" s="161">
        <v>0</v>
      </c>
      <c r="P90" s="161">
        <v>10000</v>
      </c>
      <c r="Q90" s="161">
        <v>0</v>
      </c>
      <c r="R90" s="161">
        <v>0</v>
      </c>
    </row>
    <row r="91" spans="1:18" s="283" customFormat="1" ht="26.25" customHeight="1">
      <c r="A91" s="87" t="s">
        <v>1311</v>
      </c>
      <c r="B91" s="284"/>
      <c r="C91" s="481"/>
      <c r="D91" s="481"/>
      <c r="E91" s="481"/>
      <c r="F91" s="23"/>
      <c r="G91" s="481"/>
      <c r="H91" s="481"/>
      <c r="I91" s="481"/>
      <c r="J91" s="481"/>
      <c r="K91" s="481"/>
      <c r="L91" s="286"/>
      <c r="M91" s="286"/>
      <c r="N91" s="287"/>
      <c r="O91" s="287"/>
      <c r="P91" s="287"/>
      <c r="Q91" s="287"/>
      <c r="R91" s="287"/>
    </row>
    <row r="92" spans="1:18" s="166" customFormat="1" ht="60">
      <c r="A92" s="87"/>
      <c r="B92" s="88" t="s">
        <v>518</v>
      </c>
      <c r="C92" s="63"/>
      <c r="D92" s="63"/>
      <c r="E92" s="63"/>
      <c r="F92" s="23"/>
      <c r="G92" s="63"/>
      <c r="H92" s="63"/>
      <c r="I92" s="63" t="s">
        <v>1356</v>
      </c>
      <c r="J92" s="63" t="s">
        <v>70</v>
      </c>
      <c r="K92" s="63" t="s">
        <v>1346</v>
      </c>
      <c r="L92" s="88" t="s">
        <v>43</v>
      </c>
      <c r="M92" s="88" t="s">
        <v>36</v>
      </c>
      <c r="N92" s="137">
        <v>0</v>
      </c>
      <c r="O92" s="137">
        <v>0</v>
      </c>
      <c r="P92" s="137">
        <v>93.1</v>
      </c>
      <c r="Q92" s="137">
        <v>0</v>
      </c>
      <c r="R92" s="137">
        <v>0</v>
      </c>
    </row>
    <row r="93" spans="1:18" s="283" customFormat="1" ht="48">
      <c r="A93" s="395"/>
      <c r="B93" s="325" t="s">
        <v>563</v>
      </c>
      <c r="C93" s="102"/>
      <c r="D93" s="102"/>
      <c r="E93" s="102"/>
      <c r="F93" s="102"/>
      <c r="G93" s="102"/>
      <c r="H93" s="102"/>
      <c r="I93" s="407" t="s">
        <v>1110</v>
      </c>
      <c r="J93" s="407" t="s">
        <v>70</v>
      </c>
      <c r="K93" s="407" t="s">
        <v>947</v>
      </c>
      <c r="L93" s="115" t="s">
        <v>43</v>
      </c>
      <c r="M93" s="212" t="s">
        <v>36</v>
      </c>
      <c r="N93" s="137">
        <v>30</v>
      </c>
      <c r="O93" s="137">
        <v>30</v>
      </c>
      <c r="P93" s="137">
        <v>0</v>
      </c>
      <c r="Q93" s="137">
        <v>0</v>
      </c>
      <c r="R93" s="137">
        <v>0</v>
      </c>
    </row>
    <row r="94" spans="1:18" s="166" customFormat="1" ht="98.25" customHeight="1">
      <c r="A94" s="318" t="s">
        <v>800</v>
      </c>
      <c r="B94" s="242" t="s">
        <v>799</v>
      </c>
      <c r="C94" s="319"/>
      <c r="D94" s="319"/>
      <c r="E94" s="319"/>
      <c r="F94" s="319"/>
      <c r="G94" s="319"/>
      <c r="H94" s="320"/>
      <c r="I94" s="319"/>
      <c r="J94" s="319"/>
      <c r="K94" s="320"/>
      <c r="L94" s="321"/>
      <c r="M94" s="321"/>
      <c r="N94" s="329">
        <f>SUM(N95:N109)</f>
        <v>78506.875</v>
      </c>
      <c r="O94" s="329">
        <f>SUM(O95:O109)</f>
        <v>78506.87</v>
      </c>
      <c r="P94" s="329">
        <f>SUM(P95:P109)</f>
        <v>87031.349</v>
      </c>
      <c r="Q94" s="329">
        <f>SUM(Q95:Q109)</f>
        <v>48600.1</v>
      </c>
      <c r="R94" s="329">
        <f>SUM(R95:R109)</f>
        <v>48600.1</v>
      </c>
    </row>
    <row r="95" spans="1:18" s="283" customFormat="1" ht="60" customHeight="1">
      <c r="A95" s="550" t="s">
        <v>1131</v>
      </c>
      <c r="B95" s="545"/>
      <c r="C95" s="23" t="s">
        <v>376</v>
      </c>
      <c r="D95" s="23" t="s">
        <v>371</v>
      </c>
      <c r="E95" s="23" t="s">
        <v>157</v>
      </c>
      <c r="F95" s="490" t="s">
        <v>374</v>
      </c>
      <c r="G95" s="490" t="s">
        <v>348</v>
      </c>
      <c r="H95" s="490" t="s">
        <v>241</v>
      </c>
      <c r="I95" s="23" t="s">
        <v>373</v>
      </c>
      <c r="J95" s="23" t="s">
        <v>70</v>
      </c>
      <c r="K95" s="26" t="s">
        <v>61</v>
      </c>
      <c r="L95" s="118" t="s">
        <v>43</v>
      </c>
      <c r="M95" s="118" t="s">
        <v>41</v>
      </c>
      <c r="N95" s="180">
        <f>38108.181+158</f>
        <v>38266.181</v>
      </c>
      <c r="O95" s="180">
        <f>38108.176+158</f>
        <v>38266.176</v>
      </c>
      <c r="P95" s="180">
        <f>42216.149+2632.6</f>
        <v>44848.748999999996</v>
      </c>
      <c r="Q95" s="180">
        <f>41257.6</f>
        <v>41257.6</v>
      </c>
      <c r="R95" s="180">
        <f>41257.6</f>
        <v>41257.6</v>
      </c>
    </row>
    <row r="96" spans="1:18" s="283" customFormat="1" ht="48">
      <c r="A96" s="550"/>
      <c r="B96" s="545"/>
      <c r="C96" s="23" t="s">
        <v>375</v>
      </c>
      <c r="D96" s="23" t="s">
        <v>372</v>
      </c>
      <c r="E96" s="23" t="s">
        <v>241</v>
      </c>
      <c r="F96" s="490"/>
      <c r="G96" s="490"/>
      <c r="H96" s="490"/>
      <c r="I96" s="23" t="s">
        <v>94</v>
      </c>
      <c r="J96" s="23" t="s">
        <v>70</v>
      </c>
      <c r="K96" s="26" t="s">
        <v>355</v>
      </c>
      <c r="L96" s="292"/>
      <c r="M96" s="292"/>
      <c r="N96" s="294"/>
      <c r="O96" s="294"/>
      <c r="P96" s="294"/>
      <c r="Q96" s="294"/>
      <c r="R96" s="294"/>
    </row>
    <row r="97" spans="1:18" s="283" customFormat="1" ht="108" customHeight="1">
      <c r="A97" s="87" t="s">
        <v>1132</v>
      </c>
      <c r="B97" s="88" t="s">
        <v>356</v>
      </c>
      <c r="C97" s="481"/>
      <c r="D97" s="481"/>
      <c r="E97" s="481"/>
      <c r="F97" s="23" t="s">
        <v>377</v>
      </c>
      <c r="G97" s="23" t="s">
        <v>577</v>
      </c>
      <c r="H97" s="23" t="s">
        <v>324</v>
      </c>
      <c r="I97" s="23" t="s">
        <v>647</v>
      </c>
      <c r="J97" s="23" t="s">
        <v>70</v>
      </c>
      <c r="K97" s="26" t="s">
        <v>648</v>
      </c>
      <c r="L97" s="325" t="s">
        <v>43</v>
      </c>
      <c r="M97" s="326" t="s">
        <v>41</v>
      </c>
      <c r="N97" s="138">
        <v>2292.2</v>
      </c>
      <c r="O97" s="138">
        <v>2292.2</v>
      </c>
      <c r="P97" s="138">
        <v>2248.3</v>
      </c>
      <c r="Q97" s="138">
        <v>2248.3</v>
      </c>
      <c r="R97" s="138">
        <v>2248.3</v>
      </c>
    </row>
    <row r="98" spans="1:18" s="283" customFormat="1" ht="54.75" customHeight="1">
      <c r="A98" s="550" t="s">
        <v>1133</v>
      </c>
      <c r="B98" s="88" t="s">
        <v>357</v>
      </c>
      <c r="C98" s="545"/>
      <c r="D98" s="545"/>
      <c r="E98" s="545"/>
      <c r="F98" s="490" t="s">
        <v>377</v>
      </c>
      <c r="G98" s="489" t="s">
        <v>1185</v>
      </c>
      <c r="H98" s="490" t="s">
        <v>324</v>
      </c>
      <c r="I98" s="490" t="s">
        <v>1339</v>
      </c>
      <c r="J98" s="490" t="s">
        <v>70</v>
      </c>
      <c r="K98" s="489" t="s">
        <v>615</v>
      </c>
      <c r="L98" s="118" t="s">
        <v>43</v>
      </c>
      <c r="M98" s="219" t="s">
        <v>41</v>
      </c>
      <c r="N98" s="180">
        <v>33849.5</v>
      </c>
      <c r="O98" s="180">
        <v>33849.5</v>
      </c>
      <c r="P98" s="180">
        <v>34658.6</v>
      </c>
      <c r="Q98" s="180">
        <v>0</v>
      </c>
      <c r="R98" s="180">
        <v>0</v>
      </c>
    </row>
    <row r="99" spans="1:18" s="283" customFormat="1" ht="66" customHeight="1">
      <c r="A99" s="550"/>
      <c r="B99" s="88"/>
      <c r="C99" s="545"/>
      <c r="D99" s="545"/>
      <c r="E99" s="545"/>
      <c r="F99" s="490"/>
      <c r="G99" s="489"/>
      <c r="H99" s="490"/>
      <c r="I99" s="490"/>
      <c r="J99" s="490"/>
      <c r="K99" s="489"/>
      <c r="L99" s="482"/>
      <c r="M99" s="483"/>
      <c r="N99" s="484"/>
      <c r="O99" s="484"/>
      <c r="P99" s="484"/>
      <c r="Q99" s="484"/>
      <c r="R99" s="484"/>
    </row>
    <row r="100" spans="1:18" s="166" customFormat="1" ht="190.5" customHeight="1">
      <c r="A100" s="93" t="s">
        <v>1134</v>
      </c>
      <c r="B100" s="95" t="s">
        <v>934</v>
      </c>
      <c r="C100" s="12"/>
      <c r="D100" s="12"/>
      <c r="E100" s="12"/>
      <c r="F100" s="12" t="s">
        <v>1111</v>
      </c>
      <c r="G100" s="12" t="s">
        <v>70</v>
      </c>
      <c r="H100" s="13" t="s">
        <v>1112</v>
      </c>
      <c r="I100" s="12" t="s">
        <v>935</v>
      </c>
      <c r="J100" s="12" t="s">
        <v>70</v>
      </c>
      <c r="K100" s="13" t="s">
        <v>936</v>
      </c>
      <c r="L100" s="321" t="s">
        <v>43</v>
      </c>
      <c r="M100" s="321" t="s">
        <v>41</v>
      </c>
      <c r="N100" s="322">
        <v>922.947</v>
      </c>
      <c r="O100" s="327">
        <v>922.947</v>
      </c>
      <c r="P100" s="322">
        <v>0</v>
      </c>
      <c r="Q100" s="322">
        <v>0</v>
      </c>
      <c r="R100" s="322">
        <v>0</v>
      </c>
    </row>
    <row r="101" spans="1:18" s="283" customFormat="1" ht="74.25" customHeight="1">
      <c r="A101" s="87" t="s">
        <v>1135</v>
      </c>
      <c r="B101" s="284"/>
      <c r="C101" s="23" t="s">
        <v>376</v>
      </c>
      <c r="D101" s="23" t="s">
        <v>341</v>
      </c>
      <c r="E101" s="23" t="s">
        <v>61</v>
      </c>
      <c r="F101" s="23" t="s">
        <v>374</v>
      </c>
      <c r="G101" s="23" t="s">
        <v>342</v>
      </c>
      <c r="H101" s="23" t="s">
        <v>241</v>
      </c>
      <c r="I101" s="23" t="s">
        <v>923</v>
      </c>
      <c r="J101" s="23" t="s">
        <v>147</v>
      </c>
      <c r="K101" s="23" t="s">
        <v>148</v>
      </c>
      <c r="L101" s="328" t="s">
        <v>43</v>
      </c>
      <c r="M101" s="220" t="s">
        <v>41</v>
      </c>
      <c r="N101" s="180">
        <v>565.1</v>
      </c>
      <c r="O101" s="180">
        <v>565.1</v>
      </c>
      <c r="P101" s="180">
        <v>380</v>
      </c>
      <c r="Q101" s="180">
        <v>380</v>
      </c>
      <c r="R101" s="180">
        <v>380</v>
      </c>
    </row>
    <row r="102" spans="1:18" s="283" customFormat="1" ht="60.75" customHeight="1">
      <c r="A102" s="87" t="s">
        <v>1136</v>
      </c>
      <c r="B102" s="284"/>
      <c r="C102" s="23" t="s">
        <v>376</v>
      </c>
      <c r="D102" s="23" t="s">
        <v>341</v>
      </c>
      <c r="E102" s="23" t="s">
        <v>61</v>
      </c>
      <c r="F102" s="23" t="s">
        <v>374</v>
      </c>
      <c r="G102" s="23" t="s">
        <v>342</v>
      </c>
      <c r="H102" s="23" t="s">
        <v>241</v>
      </c>
      <c r="I102" s="23" t="s">
        <v>629</v>
      </c>
      <c r="J102" s="23" t="s">
        <v>70</v>
      </c>
      <c r="K102" s="23" t="s">
        <v>548</v>
      </c>
      <c r="L102" s="113" t="s">
        <v>43</v>
      </c>
      <c r="M102" s="113" t="s">
        <v>41</v>
      </c>
      <c r="N102" s="135">
        <v>2470.557</v>
      </c>
      <c r="O102" s="135">
        <v>2470.557</v>
      </c>
      <c r="P102" s="135">
        <v>4714.2</v>
      </c>
      <c r="Q102" s="135">
        <v>4714.2</v>
      </c>
      <c r="R102" s="135">
        <v>4714.2</v>
      </c>
    </row>
    <row r="103" spans="1:18" s="283" customFormat="1" ht="60" customHeight="1">
      <c r="A103" s="293"/>
      <c r="B103" s="284"/>
      <c r="C103" s="308"/>
      <c r="D103" s="308"/>
      <c r="E103" s="308"/>
      <c r="F103" s="308"/>
      <c r="G103" s="308"/>
      <c r="H103" s="308"/>
      <c r="I103" s="23" t="s">
        <v>1328</v>
      </c>
      <c r="J103" s="23" t="s">
        <v>70</v>
      </c>
      <c r="K103" s="26" t="s">
        <v>466</v>
      </c>
      <c r="L103" s="284"/>
      <c r="M103" s="284"/>
      <c r="N103" s="290"/>
      <c r="O103" s="290"/>
      <c r="P103" s="290"/>
      <c r="Q103" s="290"/>
      <c r="R103" s="290"/>
    </row>
    <row r="104" spans="1:18" s="283" customFormat="1" ht="84" customHeight="1">
      <c r="A104" s="293"/>
      <c r="B104" s="284"/>
      <c r="C104" s="308"/>
      <c r="D104" s="308"/>
      <c r="E104" s="308"/>
      <c r="F104" s="308"/>
      <c r="G104" s="308"/>
      <c r="H104" s="308"/>
      <c r="I104" s="23" t="s">
        <v>1107</v>
      </c>
      <c r="J104" s="23" t="s">
        <v>70</v>
      </c>
      <c r="K104" s="26" t="s">
        <v>324</v>
      </c>
      <c r="L104" s="292"/>
      <c r="M104" s="292"/>
      <c r="N104" s="294"/>
      <c r="O104" s="294"/>
      <c r="P104" s="294"/>
      <c r="Q104" s="294"/>
      <c r="R104" s="294"/>
    </row>
    <row r="105" spans="1:18" s="283" customFormat="1" ht="26.25" customHeight="1">
      <c r="A105" s="87" t="s">
        <v>1137</v>
      </c>
      <c r="B105" s="284"/>
      <c r="C105" s="481"/>
      <c r="D105" s="481"/>
      <c r="E105" s="481"/>
      <c r="F105" s="23"/>
      <c r="G105" s="481"/>
      <c r="H105" s="481"/>
      <c r="I105" s="481"/>
      <c r="J105" s="481"/>
      <c r="K105" s="481"/>
      <c r="L105" s="286"/>
      <c r="M105" s="286"/>
      <c r="N105" s="287"/>
      <c r="O105" s="287"/>
      <c r="P105" s="287"/>
      <c r="Q105" s="287"/>
      <c r="R105" s="287"/>
    </row>
    <row r="106" spans="1:18" s="283" customFormat="1" ht="60">
      <c r="A106" s="87"/>
      <c r="B106" s="88" t="s">
        <v>497</v>
      </c>
      <c r="C106" s="63"/>
      <c r="D106" s="63"/>
      <c r="E106" s="63"/>
      <c r="F106" s="23"/>
      <c r="G106" s="63"/>
      <c r="H106" s="63"/>
      <c r="I106" s="63" t="s">
        <v>1245</v>
      </c>
      <c r="J106" s="63" t="s">
        <v>70</v>
      </c>
      <c r="K106" s="63" t="s">
        <v>1246</v>
      </c>
      <c r="L106" s="88" t="s">
        <v>43</v>
      </c>
      <c r="M106" s="88" t="s">
        <v>41</v>
      </c>
      <c r="N106" s="137">
        <v>0</v>
      </c>
      <c r="O106" s="137">
        <v>0</v>
      </c>
      <c r="P106" s="137">
        <v>31.5</v>
      </c>
      <c r="Q106" s="137">
        <v>0</v>
      </c>
      <c r="R106" s="137">
        <v>0</v>
      </c>
    </row>
    <row r="107" spans="1:18" s="283" customFormat="1" ht="60">
      <c r="A107" s="87"/>
      <c r="B107" s="88" t="s">
        <v>517</v>
      </c>
      <c r="C107" s="63"/>
      <c r="D107" s="63"/>
      <c r="E107" s="63"/>
      <c r="F107" s="23"/>
      <c r="G107" s="63"/>
      <c r="H107" s="63"/>
      <c r="I107" s="63" t="s">
        <v>1357</v>
      </c>
      <c r="J107" s="63" t="s">
        <v>70</v>
      </c>
      <c r="K107" s="63" t="s">
        <v>1314</v>
      </c>
      <c r="L107" s="88" t="s">
        <v>43</v>
      </c>
      <c r="M107" s="88" t="s">
        <v>41</v>
      </c>
      <c r="N107" s="137">
        <v>0</v>
      </c>
      <c r="O107" s="137">
        <v>0</v>
      </c>
      <c r="P107" s="137">
        <v>150</v>
      </c>
      <c r="Q107" s="137">
        <v>0</v>
      </c>
      <c r="R107" s="137">
        <v>0</v>
      </c>
    </row>
    <row r="108" spans="1:18" s="166" customFormat="1" ht="60">
      <c r="A108" s="87"/>
      <c r="B108" s="88" t="s">
        <v>535</v>
      </c>
      <c r="C108" s="63"/>
      <c r="D108" s="63"/>
      <c r="E108" s="63"/>
      <c r="F108" s="63"/>
      <c r="G108" s="63"/>
      <c r="H108" s="63"/>
      <c r="I108" s="23" t="s">
        <v>1113</v>
      </c>
      <c r="J108" s="23" t="s">
        <v>70</v>
      </c>
      <c r="K108" s="23" t="s">
        <v>1114</v>
      </c>
      <c r="L108" s="115" t="s">
        <v>43</v>
      </c>
      <c r="M108" s="212" t="s">
        <v>41</v>
      </c>
      <c r="N108" s="137">
        <v>40.89</v>
      </c>
      <c r="O108" s="137">
        <v>40.89</v>
      </c>
      <c r="P108" s="137">
        <v>0</v>
      </c>
      <c r="Q108" s="137">
        <v>0</v>
      </c>
      <c r="R108" s="137">
        <v>0</v>
      </c>
    </row>
    <row r="109" spans="1:18" s="166" customFormat="1" ht="48">
      <c r="A109" s="87"/>
      <c r="B109" s="88" t="s">
        <v>564</v>
      </c>
      <c r="C109" s="63"/>
      <c r="D109" s="63"/>
      <c r="E109" s="63"/>
      <c r="F109" s="63"/>
      <c r="G109" s="63"/>
      <c r="H109" s="63"/>
      <c r="I109" s="23" t="s">
        <v>937</v>
      </c>
      <c r="J109" s="23" t="s">
        <v>70</v>
      </c>
      <c r="K109" s="23" t="s">
        <v>938</v>
      </c>
      <c r="L109" s="115" t="s">
        <v>43</v>
      </c>
      <c r="M109" s="212" t="s">
        <v>41</v>
      </c>
      <c r="N109" s="137">
        <v>99.5</v>
      </c>
      <c r="O109" s="137">
        <v>99.5</v>
      </c>
      <c r="P109" s="137">
        <v>0</v>
      </c>
      <c r="Q109" s="137">
        <v>0</v>
      </c>
      <c r="R109" s="137">
        <v>0</v>
      </c>
    </row>
    <row r="110" spans="1:18" s="166" customFormat="1" ht="71.25" customHeight="1">
      <c r="A110" s="318" t="s">
        <v>801</v>
      </c>
      <c r="B110" s="242" t="s">
        <v>684</v>
      </c>
      <c r="C110" s="319"/>
      <c r="D110" s="319"/>
      <c r="E110" s="319"/>
      <c r="F110" s="319"/>
      <c r="G110" s="319"/>
      <c r="H110" s="320"/>
      <c r="I110" s="319"/>
      <c r="J110" s="319"/>
      <c r="K110" s="320"/>
      <c r="L110" s="321"/>
      <c r="M110" s="321"/>
      <c r="N110" s="329">
        <f>SUM(N111:N112)</f>
        <v>6958.754999999999</v>
      </c>
      <c r="O110" s="329">
        <f>SUM(O111:O112)</f>
        <v>6912.472</v>
      </c>
      <c r="P110" s="329">
        <f>SUM(P111:P112)</f>
        <v>7579.9</v>
      </c>
      <c r="Q110" s="329">
        <f>SUM(Q111:Q112)</f>
        <v>7821.299999999999</v>
      </c>
      <c r="R110" s="329">
        <f>SUM(R111:R112)</f>
        <v>7821.299999999999</v>
      </c>
    </row>
    <row r="111" spans="1:18" s="283" customFormat="1" ht="72.75" customHeight="1">
      <c r="A111" s="293"/>
      <c r="B111" s="481"/>
      <c r="C111" s="408" t="s">
        <v>376</v>
      </c>
      <c r="D111" s="409" t="s">
        <v>341</v>
      </c>
      <c r="E111" s="194" t="s">
        <v>61</v>
      </c>
      <c r="F111" s="568" t="s">
        <v>1115</v>
      </c>
      <c r="G111" s="490" t="s">
        <v>70</v>
      </c>
      <c r="H111" s="490" t="s">
        <v>469</v>
      </c>
      <c r="I111" s="23" t="s">
        <v>445</v>
      </c>
      <c r="J111" s="23" t="s">
        <v>70</v>
      </c>
      <c r="K111" s="26" t="s">
        <v>350</v>
      </c>
      <c r="L111" s="113" t="s">
        <v>43</v>
      </c>
      <c r="M111" s="217" t="s">
        <v>43</v>
      </c>
      <c r="N111" s="180">
        <v>2821.855</v>
      </c>
      <c r="O111" s="180">
        <v>2775.772</v>
      </c>
      <c r="P111" s="180">
        <v>2850.6</v>
      </c>
      <c r="Q111" s="180">
        <v>2850.6</v>
      </c>
      <c r="R111" s="180">
        <v>2850.6</v>
      </c>
    </row>
    <row r="112" spans="1:18" s="283" customFormat="1" ht="72.75" customHeight="1">
      <c r="A112" s="293"/>
      <c r="B112" s="88" t="s">
        <v>352</v>
      </c>
      <c r="C112" s="481"/>
      <c r="D112" s="481"/>
      <c r="E112" s="481"/>
      <c r="F112" s="568"/>
      <c r="G112" s="490"/>
      <c r="H112" s="490"/>
      <c r="I112" s="23" t="s">
        <v>628</v>
      </c>
      <c r="J112" s="23" t="s">
        <v>70</v>
      </c>
      <c r="K112" s="26" t="s">
        <v>351</v>
      </c>
      <c r="L112" s="88"/>
      <c r="M112" s="218"/>
      <c r="N112" s="180">
        <v>4136.9</v>
      </c>
      <c r="O112" s="180">
        <v>4136.7</v>
      </c>
      <c r="P112" s="180">
        <v>4729.3</v>
      </c>
      <c r="Q112" s="180">
        <v>4970.7</v>
      </c>
      <c r="R112" s="180">
        <v>4970.7</v>
      </c>
    </row>
    <row r="113" spans="1:18" s="166" customFormat="1" ht="86.25" customHeight="1">
      <c r="A113" s="494" t="s">
        <v>802</v>
      </c>
      <c r="B113" s="518" t="s">
        <v>44</v>
      </c>
      <c r="C113" s="408" t="s">
        <v>376</v>
      </c>
      <c r="D113" s="409" t="s">
        <v>341</v>
      </c>
      <c r="E113" s="194" t="s">
        <v>61</v>
      </c>
      <c r="F113" s="194"/>
      <c r="G113" s="194"/>
      <c r="H113" s="259"/>
      <c r="I113" s="408" t="s">
        <v>1107</v>
      </c>
      <c r="J113" s="251" t="s">
        <v>70</v>
      </c>
      <c r="K113" s="252" t="s">
        <v>324</v>
      </c>
      <c r="L113" s="111" t="s">
        <v>43</v>
      </c>
      <c r="M113" s="111" t="s">
        <v>38</v>
      </c>
      <c r="N113" s="381">
        <v>319.4</v>
      </c>
      <c r="O113" s="381">
        <v>319.4</v>
      </c>
      <c r="P113" s="381">
        <v>319.4</v>
      </c>
      <c r="Q113" s="381">
        <v>319.4</v>
      </c>
      <c r="R113" s="381">
        <v>319.4</v>
      </c>
    </row>
    <row r="114" spans="1:18" s="166" customFormat="1" ht="177.75" customHeight="1">
      <c r="A114" s="495"/>
      <c r="B114" s="543"/>
      <c r="C114" s="264"/>
      <c r="D114" s="264"/>
      <c r="E114" s="264"/>
      <c r="F114" s="264"/>
      <c r="G114" s="264"/>
      <c r="H114" s="281"/>
      <c r="I114" s="264"/>
      <c r="J114" s="264"/>
      <c r="K114" s="281"/>
      <c r="L114" s="191" t="s">
        <v>43</v>
      </c>
      <c r="M114" s="191" t="s">
        <v>41</v>
      </c>
      <c r="N114" s="382">
        <v>473.3</v>
      </c>
      <c r="O114" s="382">
        <v>473.3</v>
      </c>
      <c r="P114" s="382">
        <v>488.3</v>
      </c>
      <c r="Q114" s="382">
        <v>488.3</v>
      </c>
      <c r="R114" s="382">
        <v>488.3</v>
      </c>
    </row>
    <row r="115" spans="1:18" s="167" customFormat="1" ht="108.75" customHeight="1" hidden="1">
      <c r="A115" s="494" t="s">
        <v>803</v>
      </c>
      <c r="B115" s="67">
        <v>1025</v>
      </c>
      <c r="C115" s="43" t="s">
        <v>57</v>
      </c>
      <c r="D115" s="43" t="s">
        <v>378</v>
      </c>
      <c r="E115" s="43" t="s">
        <v>58</v>
      </c>
      <c r="F115" s="562" t="s">
        <v>106</v>
      </c>
      <c r="G115" s="37" t="s">
        <v>72</v>
      </c>
      <c r="H115" s="37" t="s">
        <v>107</v>
      </c>
      <c r="I115" s="194" t="s">
        <v>108</v>
      </c>
      <c r="J115" s="194" t="s">
        <v>70</v>
      </c>
      <c r="K115" s="259" t="s">
        <v>109</v>
      </c>
      <c r="L115" s="111" t="s">
        <v>38</v>
      </c>
      <c r="M115" s="111" t="s">
        <v>36</v>
      </c>
      <c r="N115" s="66">
        <v>0</v>
      </c>
      <c r="O115" s="66"/>
      <c r="P115" s="66">
        <v>0</v>
      </c>
      <c r="Q115" s="66"/>
      <c r="R115" s="246">
        <v>0</v>
      </c>
    </row>
    <row r="116" spans="1:18" s="167" customFormat="1" ht="97.5" customHeight="1" hidden="1">
      <c r="A116" s="495"/>
      <c r="B116" s="106"/>
      <c r="C116" s="24"/>
      <c r="D116" s="24"/>
      <c r="E116" s="24"/>
      <c r="F116" s="563"/>
      <c r="G116" s="249"/>
      <c r="H116" s="249"/>
      <c r="I116" s="264" t="s">
        <v>110</v>
      </c>
      <c r="J116" s="264" t="s">
        <v>70</v>
      </c>
      <c r="K116" s="281" t="s">
        <v>111</v>
      </c>
      <c r="L116" s="91"/>
      <c r="M116" s="91"/>
      <c r="N116" s="90"/>
      <c r="O116" s="90"/>
      <c r="P116" s="90"/>
      <c r="Q116" s="90"/>
      <c r="R116" s="141"/>
    </row>
    <row r="117" spans="1:18" s="167" customFormat="1" ht="13.5" customHeight="1">
      <c r="A117" s="494" t="s">
        <v>804</v>
      </c>
      <c r="B117" s="91">
        <v>1026</v>
      </c>
      <c r="C117" s="14"/>
      <c r="D117" s="14"/>
      <c r="E117" s="14"/>
      <c r="F117" s="15"/>
      <c r="G117" s="15"/>
      <c r="H117" s="15"/>
      <c r="I117" s="12"/>
      <c r="J117" s="12"/>
      <c r="K117" s="460"/>
      <c r="L117" s="146"/>
      <c r="M117" s="146"/>
      <c r="N117" s="147">
        <f>SUM(N118:N122)</f>
        <v>1149.024</v>
      </c>
      <c r="O117" s="147">
        <f>SUM(O118:O122)</f>
        <v>1143.419</v>
      </c>
      <c r="P117" s="147">
        <f>SUM(P118:P122)</f>
        <v>8527.2</v>
      </c>
      <c r="Q117" s="147">
        <f>SUM(Q118:Q122)</f>
        <v>1138.7</v>
      </c>
      <c r="R117" s="147">
        <f>SUM(R118:R122)</f>
        <v>1138.7</v>
      </c>
    </row>
    <row r="118" spans="1:18" s="167" customFormat="1" ht="71.25" customHeight="1">
      <c r="A118" s="501"/>
      <c r="B118" s="510"/>
      <c r="C118" s="527" t="s">
        <v>57</v>
      </c>
      <c r="D118" s="527" t="s">
        <v>105</v>
      </c>
      <c r="E118" s="527" t="s">
        <v>58</v>
      </c>
      <c r="F118" s="527" t="s">
        <v>31</v>
      </c>
      <c r="G118" s="527" t="s">
        <v>31</v>
      </c>
      <c r="H118" s="527" t="s">
        <v>31</v>
      </c>
      <c r="I118" s="80" t="s">
        <v>101</v>
      </c>
      <c r="J118" s="80" t="s">
        <v>102</v>
      </c>
      <c r="K118" s="80" t="s">
        <v>103</v>
      </c>
      <c r="L118" s="80" t="s">
        <v>35</v>
      </c>
      <c r="M118" s="80" t="s">
        <v>41</v>
      </c>
      <c r="N118" s="35">
        <v>1149.024</v>
      </c>
      <c r="O118" s="35">
        <v>1143.419</v>
      </c>
      <c r="P118" s="35">
        <f>1138.7+769.4+600</f>
        <v>2508.1</v>
      </c>
      <c r="Q118" s="35">
        <v>1138.7</v>
      </c>
      <c r="R118" s="236">
        <v>1138.7</v>
      </c>
    </row>
    <row r="119" spans="1:18" s="167" customFormat="1" ht="38.25" customHeight="1">
      <c r="A119" s="501"/>
      <c r="B119" s="511"/>
      <c r="C119" s="528"/>
      <c r="D119" s="528"/>
      <c r="E119" s="528"/>
      <c r="F119" s="528"/>
      <c r="G119" s="528"/>
      <c r="H119" s="528"/>
      <c r="I119" s="85" t="s">
        <v>561</v>
      </c>
      <c r="J119" s="85" t="s">
        <v>70</v>
      </c>
      <c r="K119" s="85" t="s">
        <v>562</v>
      </c>
      <c r="L119" s="85"/>
      <c r="M119" s="85"/>
      <c r="N119" s="92"/>
      <c r="O119" s="92"/>
      <c r="P119" s="92"/>
      <c r="Q119" s="92"/>
      <c r="R119" s="238"/>
    </row>
    <row r="120" spans="1:18" s="166" customFormat="1" ht="27" customHeight="1">
      <c r="A120" s="93"/>
      <c r="B120" s="95" t="s">
        <v>1278</v>
      </c>
      <c r="C120" s="85"/>
      <c r="D120" s="85"/>
      <c r="E120" s="85"/>
      <c r="F120" s="85"/>
      <c r="G120" s="85"/>
      <c r="H120" s="85"/>
      <c r="I120" s="612" t="s">
        <v>464</v>
      </c>
      <c r="J120" s="603" t="s">
        <v>70</v>
      </c>
      <c r="K120" s="626" t="s">
        <v>355</v>
      </c>
      <c r="L120" s="528"/>
      <c r="M120" s="528"/>
      <c r="N120" s="86">
        <v>0</v>
      </c>
      <c r="O120" s="86">
        <v>0</v>
      </c>
      <c r="P120" s="86">
        <v>1804.5</v>
      </c>
      <c r="Q120" s="86">
        <v>0</v>
      </c>
      <c r="R120" s="237">
        <v>0</v>
      </c>
    </row>
    <row r="121" spans="1:18" s="166" customFormat="1" ht="27" customHeight="1">
      <c r="A121" s="93"/>
      <c r="B121" s="95" t="s">
        <v>1279</v>
      </c>
      <c r="C121" s="85"/>
      <c r="D121" s="85"/>
      <c r="E121" s="85"/>
      <c r="F121" s="85"/>
      <c r="G121" s="85"/>
      <c r="H121" s="85"/>
      <c r="I121" s="613"/>
      <c r="J121" s="618"/>
      <c r="K121" s="627"/>
      <c r="L121" s="528"/>
      <c r="M121" s="528"/>
      <c r="N121" s="86">
        <v>0</v>
      </c>
      <c r="O121" s="86">
        <v>0</v>
      </c>
      <c r="P121" s="86">
        <v>999.9</v>
      </c>
      <c r="Q121" s="86">
        <v>0</v>
      </c>
      <c r="R121" s="237">
        <v>0</v>
      </c>
    </row>
    <row r="122" spans="1:18" s="166" customFormat="1" ht="84.75" customHeight="1">
      <c r="A122" s="457"/>
      <c r="B122" s="117" t="s">
        <v>1268</v>
      </c>
      <c r="C122" s="65"/>
      <c r="D122" s="65"/>
      <c r="E122" s="65"/>
      <c r="F122" s="65"/>
      <c r="G122" s="65"/>
      <c r="H122" s="65"/>
      <c r="I122" s="65" t="s">
        <v>1352</v>
      </c>
      <c r="J122" s="65" t="s">
        <v>70</v>
      </c>
      <c r="K122" s="65" t="s">
        <v>1348</v>
      </c>
      <c r="L122" s="65"/>
      <c r="M122" s="65"/>
      <c r="N122" s="96">
        <v>0</v>
      </c>
      <c r="O122" s="96">
        <v>0</v>
      </c>
      <c r="P122" s="96">
        <v>3214.7</v>
      </c>
      <c r="Q122" s="96"/>
      <c r="R122" s="239"/>
    </row>
    <row r="123" spans="1:18" s="167" customFormat="1" ht="108.75" customHeight="1">
      <c r="A123" s="66" t="s">
        <v>1207</v>
      </c>
      <c r="B123" s="67" t="s">
        <v>1208</v>
      </c>
      <c r="C123" s="80"/>
      <c r="D123" s="80"/>
      <c r="E123" s="80"/>
      <c r="F123" s="84"/>
      <c r="G123" s="84"/>
      <c r="H123" s="84"/>
      <c r="I123" s="253" t="s">
        <v>464</v>
      </c>
      <c r="J123" s="253" t="s">
        <v>70</v>
      </c>
      <c r="K123" s="254" t="s">
        <v>355</v>
      </c>
      <c r="L123" s="122" t="s">
        <v>37</v>
      </c>
      <c r="M123" s="220" t="s">
        <v>25</v>
      </c>
      <c r="N123" s="229">
        <v>0</v>
      </c>
      <c r="O123" s="229">
        <v>0</v>
      </c>
      <c r="P123" s="229">
        <v>1800</v>
      </c>
      <c r="Q123" s="229">
        <v>0</v>
      </c>
      <c r="R123" s="229">
        <v>0</v>
      </c>
    </row>
    <row r="124" spans="1:18" s="167" customFormat="1" ht="36.75" customHeight="1">
      <c r="A124" s="66" t="s">
        <v>805</v>
      </c>
      <c r="B124" s="67">
        <v>1029</v>
      </c>
      <c r="C124" s="67"/>
      <c r="D124" s="67"/>
      <c r="E124" s="67"/>
      <c r="F124" s="66"/>
      <c r="G124" s="66"/>
      <c r="H124" s="66"/>
      <c r="I124" s="67"/>
      <c r="J124" s="67"/>
      <c r="K124" s="67"/>
      <c r="L124" s="67"/>
      <c r="M124" s="202"/>
      <c r="N124" s="229">
        <f>SUM(N126:N128)</f>
        <v>4000.553</v>
      </c>
      <c r="O124" s="229">
        <f>SUM(O126:O128)</f>
        <v>3999.737</v>
      </c>
      <c r="P124" s="229">
        <f>SUM(P126:P128)</f>
        <v>4078.3</v>
      </c>
      <c r="Q124" s="229">
        <f>SUM(Q126:Q128)</f>
        <v>2511.3</v>
      </c>
      <c r="R124" s="229">
        <f>SUM(R126:R128)</f>
        <v>2511.3</v>
      </c>
    </row>
    <row r="125" spans="1:18" s="167" customFormat="1" ht="14.25" customHeight="1">
      <c r="A125" s="125" t="s">
        <v>100</v>
      </c>
      <c r="B125" s="83"/>
      <c r="C125" s="83"/>
      <c r="D125" s="83"/>
      <c r="E125" s="83"/>
      <c r="F125" s="110"/>
      <c r="G125" s="110"/>
      <c r="H125" s="110"/>
      <c r="I125" s="83"/>
      <c r="J125" s="83"/>
      <c r="K125" s="83"/>
      <c r="L125" s="126"/>
      <c r="M125" s="202"/>
      <c r="N125" s="229"/>
      <c r="O125" s="229"/>
      <c r="P125" s="229"/>
      <c r="Q125" s="229"/>
      <c r="R125" s="229"/>
    </row>
    <row r="126" spans="1:18" s="166" customFormat="1" ht="38.25" customHeight="1">
      <c r="A126" s="505"/>
      <c r="B126" s="85"/>
      <c r="C126" s="564" t="s">
        <v>57</v>
      </c>
      <c r="D126" s="513" t="s">
        <v>112</v>
      </c>
      <c r="E126" s="513" t="s">
        <v>58</v>
      </c>
      <c r="F126" s="27"/>
      <c r="G126" s="27"/>
      <c r="H126" s="27"/>
      <c r="I126" s="27" t="s">
        <v>113</v>
      </c>
      <c r="J126" s="27" t="s">
        <v>70</v>
      </c>
      <c r="K126" s="30" t="s">
        <v>61</v>
      </c>
      <c r="L126" s="80" t="s">
        <v>32</v>
      </c>
      <c r="M126" s="206" t="s">
        <v>26</v>
      </c>
      <c r="N126" s="101">
        <v>2613.253</v>
      </c>
      <c r="O126" s="101">
        <v>2612.437</v>
      </c>
      <c r="P126" s="101">
        <f>2852.3-253</f>
        <v>2599.3</v>
      </c>
      <c r="Q126" s="101">
        <f>2764.3-253</f>
        <v>2511.3</v>
      </c>
      <c r="R126" s="101">
        <f>2764.3-253</f>
        <v>2511.3</v>
      </c>
    </row>
    <row r="127" spans="1:18" s="166" customFormat="1" ht="60">
      <c r="A127" s="506"/>
      <c r="B127" s="85"/>
      <c r="C127" s="565"/>
      <c r="D127" s="502"/>
      <c r="E127" s="502"/>
      <c r="F127" s="27"/>
      <c r="G127" s="27"/>
      <c r="H127" s="27"/>
      <c r="I127" s="27" t="s">
        <v>479</v>
      </c>
      <c r="J127" s="27" t="s">
        <v>70</v>
      </c>
      <c r="K127" s="30" t="s">
        <v>476</v>
      </c>
      <c r="L127" s="85"/>
      <c r="M127" s="136"/>
      <c r="N127" s="77"/>
      <c r="O127" s="77"/>
      <c r="P127" s="77"/>
      <c r="Q127" s="77"/>
      <c r="R127" s="77"/>
    </row>
    <row r="128" spans="1:18" s="166" customFormat="1" ht="47.25" customHeight="1">
      <c r="A128" s="93"/>
      <c r="B128" s="85"/>
      <c r="C128" s="14"/>
      <c r="D128" s="14"/>
      <c r="E128" s="14"/>
      <c r="F128" s="42"/>
      <c r="G128" s="27"/>
      <c r="H128" s="27"/>
      <c r="I128" s="27" t="s">
        <v>94</v>
      </c>
      <c r="J128" s="27" t="s">
        <v>70</v>
      </c>
      <c r="K128" s="30" t="s">
        <v>73</v>
      </c>
      <c r="L128" s="573" t="s">
        <v>40</v>
      </c>
      <c r="M128" s="576" t="s">
        <v>32</v>
      </c>
      <c r="N128" s="541">
        <v>1387.3</v>
      </c>
      <c r="O128" s="581">
        <v>1387.3</v>
      </c>
      <c r="P128" s="541">
        <v>1479</v>
      </c>
      <c r="Q128" s="541">
        <v>0</v>
      </c>
      <c r="R128" s="541">
        <v>0</v>
      </c>
    </row>
    <row r="129" spans="1:18" s="166" customFormat="1" ht="120.75" customHeight="1">
      <c r="A129" s="75"/>
      <c r="B129" s="95" t="s">
        <v>149</v>
      </c>
      <c r="C129" s="127"/>
      <c r="D129" s="127"/>
      <c r="E129" s="127"/>
      <c r="F129" s="394" t="s">
        <v>114</v>
      </c>
      <c r="G129" s="394" t="s">
        <v>1122</v>
      </c>
      <c r="H129" s="394" t="s">
        <v>85</v>
      </c>
      <c r="I129" s="14" t="s">
        <v>700</v>
      </c>
      <c r="J129" s="27" t="s">
        <v>70</v>
      </c>
      <c r="K129" s="30" t="s">
        <v>623</v>
      </c>
      <c r="L129" s="574"/>
      <c r="M129" s="583"/>
      <c r="N129" s="542"/>
      <c r="O129" s="582"/>
      <c r="P129" s="542"/>
      <c r="Q129" s="542"/>
      <c r="R129" s="542"/>
    </row>
    <row r="130" spans="1:18" s="167" customFormat="1" ht="60" hidden="1">
      <c r="A130" s="69" t="s">
        <v>683</v>
      </c>
      <c r="B130" s="242" t="s">
        <v>684</v>
      </c>
      <c r="C130" s="269"/>
      <c r="D130" s="269"/>
      <c r="E130" s="269"/>
      <c r="F130" s="270"/>
      <c r="G130" s="270"/>
      <c r="H130" s="270"/>
      <c r="I130" s="271"/>
      <c r="J130" s="271"/>
      <c r="K130" s="271"/>
      <c r="L130" s="272"/>
      <c r="M130" s="273"/>
      <c r="N130" s="274"/>
      <c r="O130" s="275"/>
      <c r="P130" s="274">
        <v>0</v>
      </c>
      <c r="Q130" s="274"/>
      <c r="R130" s="276"/>
    </row>
    <row r="131" spans="1:18" s="167" customFormat="1" ht="60">
      <c r="A131" s="66" t="s">
        <v>806</v>
      </c>
      <c r="B131" s="67">
        <v>1034</v>
      </c>
      <c r="C131" s="66" t="s">
        <v>31</v>
      </c>
      <c r="D131" s="66" t="s">
        <v>31</v>
      </c>
      <c r="E131" s="66" t="s">
        <v>31</v>
      </c>
      <c r="F131" s="66" t="s">
        <v>31</v>
      </c>
      <c r="G131" s="66" t="s">
        <v>31</v>
      </c>
      <c r="H131" s="66" t="s">
        <v>31</v>
      </c>
      <c r="I131" s="66" t="s">
        <v>31</v>
      </c>
      <c r="J131" s="66" t="s">
        <v>31</v>
      </c>
      <c r="K131" s="66" t="s">
        <v>31</v>
      </c>
      <c r="L131" s="67" t="s">
        <v>40</v>
      </c>
      <c r="M131" s="202" t="s">
        <v>32</v>
      </c>
      <c r="N131" s="228">
        <f>SUM(N132:N148)</f>
        <v>57434.936</v>
      </c>
      <c r="O131" s="228">
        <f>SUM(O132:O148)</f>
        <v>57207.801</v>
      </c>
      <c r="P131" s="228">
        <f>SUM(P132:P148)</f>
        <v>59119.1495</v>
      </c>
      <c r="Q131" s="228">
        <f>SUM(Q132:Q148)</f>
        <v>4005.3</v>
      </c>
      <c r="R131" s="228">
        <f>SUM(R132:R148)</f>
        <v>4005.3</v>
      </c>
    </row>
    <row r="132" spans="1:18" s="166" customFormat="1" ht="110.25" customHeight="1">
      <c r="A132" s="84" t="s">
        <v>1138</v>
      </c>
      <c r="B132" s="80"/>
      <c r="C132" s="80" t="s">
        <v>57</v>
      </c>
      <c r="D132" s="80" t="s">
        <v>115</v>
      </c>
      <c r="E132" s="80" t="s">
        <v>58</v>
      </c>
      <c r="F132" s="80" t="s">
        <v>1153</v>
      </c>
      <c r="G132" s="80" t="s">
        <v>116</v>
      </c>
      <c r="H132" s="80" t="s">
        <v>117</v>
      </c>
      <c r="I132" s="194" t="s">
        <v>478</v>
      </c>
      <c r="J132" s="194" t="s">
        <v>70</v>
      </c>
      <c r="K132" s="259" t="s">
        <v>73</v>
      </c>
      <c r="L132" s="80" t="s">
        <v>40</v>
      </c>
      <c r="M132" s="206" t="s">
        <v>32</v>
      </c>
      <c r="N132" s="101">
        <f>5272.118+19.6+2961.32+32+432.848+261.5</f>
        <v>8979.386</v>
      </c>
      <c r="O132" s="101">
        <f>5272.118+19.6+2961.32+32+432.848+261.5</f>
        <v>8979.386</v>
      </c>
      <c r="P132" s="101">
        <f>5510.1495+550.5</f>
        <v>6060.6495</v>
      </c>
      <c r="Q132" s="101">
        <v>2186.9</v>
      </c>
      <c r="R132" s="101">
        <v>2186.9</v>
      </c>
    </row>
    <row r="133" spans="1:18" s="166" customFormat="1" ht="97.5" customHeight="1">
      <c r="A133" s="75"/>
      <c r="B133" s="85"/>
      <c r="C133" s="85" t="s">
        <v>489</v>
      </c>
      <c r="D133" s="85" t="s">
        <v>580</v>
      </c>
      <c r="E133" s="85" t="s">
        <v>490</v>
      </c>
      <c r="F133" s="85"/>
      <c r="G133" s="85"/>
      <c r="H133" s="85"/>
      <c r="I133" s="12" t="s">
        <v>488</v>
      </c>
      <c r="J133" s="12" t="s">
        <v>70</v>
      </c>
      <c r="K133" s="13" t="s">
        <v>466</v>
      </c>
      <c r="L133" s="85"/>
      <c r="M133" s="136"/>
      <c r="N133" s="77"/>
      <c r="O133" s="77"/>
      <c r="P133" s="77"/>
      <c r="Q133" s="77"/>
      <c r="R133" s="77"/>
    </row>
    <row r="134" spans="1:18" s="166" customFormat="1" ht="37.5" customHeight="1">
      <c r="A134" s="75"/>
      <c r="B134" s="85"/>
      <c r="C134" s="85"/>
      <c r="D134" s="85"/>
      <c r="E134" s="85"/>
      <c r="F134" s="85"/>
      <c r="G134" s="85"/>
      <c r="H134" s="85"/>
      <c r="I134" s="12" t="s">
        <v>532</v>
      </c>
      <c r="J134" s="12" t="s">
        <v>70</v>
      </c>
      <c r="K134" s="13" t="s">
        <v>533</v>
      </c>
      <c r="L134" s="85"/>
      <c r="M134" s="136"/>
      <c r="N134" s="77"/>
      <c r="O134" s="77"/>
      <c r="P134" s="77"/>
      <c r="Q134" s="77"/>
      <c r="R134" s="77"/>
    </row>
    <row r="135" spans="1:18" s="166" customFormat="1" ht="71.25" customHeight="1">
      <c r="A135" s="75"/>
      <c r="B135" s="85"/>
      <c r="C135" s="85"/>
      <c r="D135" s="85"/>
      <c r="E135" s="85"/>
      <c r="F135" s="85"/>
      <c r="G135" s="85"/>
      <c r="H135" s="85"/>
      <c r="I135" s="10" t="s">
        <v>467</v>
      </c>
      <c r="J135" s="12" t="s">
        <v>70</v>
      </c>
      <c r="K135" s="13" t="s">
        <v>468</v>
      </c>
      <c r="L135" s="85"/>
      <c r="M135" s="85"/>
      <c r="N135" s="86"/>
      <c r="O135" s="86"/>
      <c r="P135" s="86"/>
      <c r="Q135" s="86"/>
      <c r="R135" s="237"/>
    </row>
    <row r="136" spans="1:18" s="166" customFormat="1" ht="108.75" customHeight="1" hidden="1">
      <c r="A136" s="75"/>
      <c r="B136" s="85"/>
      <c r="C136" s="75"/>
      <c r="D136" s="75"/>
      <c r="E136" s="75"/>
      <c r="F136" s="75"/>
      <c r="G136" s="75"/>
      <c r="H136" s="75"/>
      <c r="I136" s="10" t="s">
        <v>118</v>
      </c>
      <c r="J136" s="10" t="s">
        <v>70</v>
      </c>
      <c r="K136" s="11" t="s">
        <v>119</v>
      </c>
      <c r="L136" s="85" t="s">
        <v>40</v>
      </c>
      <c r="M136" s="85" t="s">
        <v>32</v>
      </c>
      <c r="N136" s="86">
        <v>0</v>
      </c>
      <c r="O136" s="86"/>
      <c r="P136" s="86"/>
      <c r="Q136" s="86"/>
      <c r="R136" s="237"/>
    </row>
    <row r="137" spans="1:18" s="166" customFormat="1" ht="84">
      <c r="A137" s="75"/>
      <c r="B137" s="85"/>
      <c r="C137" s="75"/>
      <c r="D137" s="75"/>
      <c r="E137" s="75"/>
      <c r="F137" s="75"/>
      <c r="G137" s="75"/>
      <c r="H137" s="75"/>
      <c r="I137" s="10" t="s">
        <v>1155</v>
      </c>
      <c r="J137" s="12" t="s">
        <v>70</v>
      </c>
      <c r="K137" s="13" t="s">
        <v>447</v>
      </c>
      <c r="L137" s="85"/>
      <c r="M137" s="85"/>
      <c r="N137" s="86"/>
      <c r="O137" s="86"/>
      <c r="P137" s="86"/>
      <c r="Q137" s="86"/>
      <c r="R137" s="237"/>
    </row>
    <row r="138" spans="1:18" s="166" customFormat="1" ht="48">
      <c r="A138" s="505" t="s">
        <v>1139</v>
      </c>
      <c r="B138" s="85"/>
      <c r="C138" s="75"/>
      <c r="D138" s="75"/>
      <c r="E138" s="75"/>
      <c r="F138" s="609" t="s">
        <v>114</v>
      </c>
      <c r="G138" s="528" t="s">
        <v>581</v>
      </c>
      <c r="H138" s="566" t="s">
        <v>85</v>
      </c>
      <c r="I138" s="12" t="s">
        <v>94</v>
      </c>
      <c r="J138" s="12" t="s">
        <v>70</v>
      </c>
      <c r="K138" s="13" t="s">
        <v>73</v>
      </c>
      <c r="L138" s="65"/>
      <c r="M138" s="209"/>
      <c r="N138" s="103"/>
      <c r="O138" s="103"/>
      <c r="P138" s="103"/>
      <c r="Q138" s="103"/>
      <c r="R138" s="103"/>
    </row>
    <row r="139" spans="1:18" s="166" customFormat="1" ht="108.75" customHeight="1">
      <c r="A139" s="507"/>
      <c r="B139" s="85">
        <v>684</v>
      </c>
      <c r="C139" s="75"/>
      <c r="D139" s="75"/>
      <c r="E139" s="75"/>
      <c r="F139" s="609"/>
      <c r="G139" s="528"/>
      <c r="H139" s="566"/>
      <c r="I139" s="14" t="s">
        <v>1326</v>
      </c>
      <c r="J139" s="14" t="s">
        <v>70</v>
      </c>
      <c r="K139" s="14" t="s">
        <v>1327</v>
      </c>
      <c r="L139" s="80" t="s">
        <v>40</v>
      </c>
      <c r="M139" s="206" t="s">
        <v>32</v>
      </c>
      <c r="N139" s="101">
        <v>45388.3</v>
      </c>
      <c r="O139" s="101">
        <v>45388.3</v>
      </c>
      <c r="P139" s="101">
        <v>44309.6</v>
      </c>
      <c r="Q139" s="101">
        <v>0</v>
      </c>
      <c r="R139" s="101">
        <v>0</v>
      </c>
    </row>
    <row r="140" spans="1:18" s="166" customFormat="1" ht="84" customHeight="1">
      <c r="A140" s="84" t="s">
        <v>1140</v>
      </c>
      <c r="B140" s="85">
        <v>566</v>
      </c>
      <c r="C140" s="75"/>
      <c r="D140" s="75"/>
      <c r="E140" s="75"/>
      <c r="F140" s="609"/>
      <c r="G140" s="15" t="s">
        <v>582</v>
      </c>
      <c r="H140" s="566"/>
      <c r="I140" s="15" t="s">
        <v>1222</v>
      </c>
      <c r="J140" s="15" t="s">
        <v>70</v>
      </c>
      <c r="K140" s="15" t="s">
        <v>1223</v>
      </c>
      <c r="L140" s="80" t="s">
        <v>40</v>
      </c>
      <c r="M140" s="206" t="s">
        <v>32</v>
      </c>
      <c r="N140" s="101">
        <v>1650</v>
      </c>
      <c r="O140" s="101">
        <v>1448.865</v>
      </c>
      <c r="P140" s="101">
        <v>1818.4</v>
      </c>
      <c r="Q140" s="101">
        <v>1818.4</v>
      </c>
      <c r="R140" s="101">
        <v>1818.4</v>
      </c>
    </row>
    <row r="141" spans="1:18" s="166" customFormat="1" ht="42" customHeight="1">
      <c r="A141" s="505" t="s">
        <v>1141</v>
      </c>
      <c r="B141" s="95" t="s">
        <v>529</v>
      </c>
      <c r="C141" s="75"/>
      <c r="D141" s="75"/>
      <c r="E141" s="75"/>
      <c r="F141" s="567" t="s">
        <v>583</v>
      </c>
      <c r="G141" s="567" t="s">
        <v>584</v>
      </c>
      <c r="H141" s="567" t="s">
        <v>131</v>
      </c>
      <c r="I141" s="567" t="s">
        <v>1157</v>
      </c>
      <c r="J141" s="567" t="s">
        <v>70</v>
      </c>
      <c r="K141" s="606" t="s">
        <v>1158</v>
      </c>
      <c r="L141" s="122" t="s">
        <v>40</v>
      </c>
      <c r="M141" s="220" t="s">
        <v>32</v>
      </c>
      <c r="N141" s="101">
        <v>106.201</v>
      </c>
      <c r="O141" s="101">
        <v>106.201</v>
      </c>
      <c r="P141" s="101">
        <v>0</v>
      </c>
      <c r="Q141" s="101">
        <v>0</v>
      </c>
      <c r="R141" s="101">
        <v>0</v>
      </c>
    </row>
    <row r="142" spans="1:18" s="166" customFormat="1" ht="42" customHeight="1">
      <c r="A142" s="507"/>
      <c r="B142" s="95" t="s">
        <v>530</v>
      </c>
      <c r="C142" s="75"/>
      <c r="D142" s="75"/>
      <c r="E142" s="75"/>
      <c r="F142" s="567"/>
      <c r="G142" s="567"/>
      <c r="H142" s="567"/>
      <c r="I142" s="567"/>
      <c r="J142" s="567"/>
      <c r="K142" s="567"/>
      <c r="L142" s="122" t="s">
        <v>40</v>
      </c>
      <c r="M142" s="220" t="s">
        <v>32</v>
      </c>
      <c r="N142" s="101">
        <v>518.511</v>
      </c>
      <c r="O142" s="101">
        <v>518.511</v>
      </c>
      <c r="P142" s="101">
        <v>0</v>
      </c>
      <c r="Q142" s="101">
        <v>0</v>
      </c>
      <c r="R142" s="101">
        <v>0</v>
      </c>
    </row>
    <row r="143" spans="1:18" s="166" customFormat="1" ht="48.75" customHeight="1">
      <c r="A143" s="462" t="s">
        <v>1210</v>
      </c>
      <c r="B143" s="95" t="s">
        <v>1211</v>
      </c>
      <c r="C143" s="75"/>
      <c r="D143" s="75"/>
      <c r="E143" s="75"/>
      <c r="F143" s="463"/>
      <c r="G143" s="15"/>
      <c r="H143" s="15"/>
      <c r="I143" s="253" t="s">
        <v>464</v>
      </c>
      <c r="J143" s="253" t="s">
        <v>70</v>
      </c>
      <c r="K143" s="254" t="s">
        <v>355</v>
      </c>
      <c r="L143" s="122" t="s">
        <v>40</v>
      </c>
      <c r="M143" s="220" t="s">
        <v>32</v>
      </c>
      <c r="N143" s="101">
        <v>0</v>
      </c>
      <c r="O143" s="101">
        <v>0</v>
      </c>
      <c r="P143" s="101">
        <v>6651.5</v>
      </c>
      <c r="Q143" s="101">
        <v>0</v>
      </c>
      <c r="R143" s="101">
        <v>0</v>
      </c>
    </row>
    <row r="144" spans="1:18" s="166" customFormat="1" ht="48" customHeight="1">
      <c r="A144" s="552" t="s">
        <v>1209</v>
      </c>
      <c r="B144" s="95" t="s">
        <v>657</v>
      </c>
      <c r="C144" s="75"/>
      <c r="D144" s="75"/>
      <c r="E144" s="75"/>
      <c r="F144" s="614" t="s">
        <v>573</v>
      </c>
      <c r="G144" s="85" t="s">
        <v>1154</v>
      </c>
      <c r="H144" s="85" t="s">
        <v>574</v>
      </c>
      <c r="I144" s="412" t="s">
        <v>1247</v>
      </c>
      <c r="J144" s="23" t="s">
        <v>70</v>
      </c>
      <c r="K144" s="413" t="s">
        <v>1248</v>
      </c>
      <c r="L144" s="122" t="s">
        <v>40</v>
      </c>
      <c r="M144" s="220" t="s">
        <v>32</v>
      </c>
      <c r="N144" s="101">
        <v>250</v>
      </c>
      <c r="O144" s="101">
        <v>250</v>
      </c>
      <c r="P144" s="101">
        <v>99</v>
      </c>
      <c r="Q144" s="101">
        <v>0</v>
      </c>
      <c r="R144" s="101">
        <v>0</v>
      </c>
    </row>
    <row r="145" spans="1:18" s="166" customFormat="1" ht="48" customHeight="1">
      <c r="A145" s="553"/>
      <c r="B145" s="95" t="s">
        <v>1280</v>
      </c>
      <c r="C145" s="75"/>
      <c r="D145" s="75"/>
      <c r="E145" s="75"/>
      <c r="F145" s="614"/>
      <c r="G145" s="85"/>
      <c r="H145" s="85"/>
      <c r="I145" s="412" t="s">
        <v>1360</v>
      </c>
      <c r="J145" s="23" t="s">
        <v>70</v>
      </c>
      <c r="K145" s="413" t="s">
        <v>1361</v>
      </c>
      <c r="L145" s="122" t="s">
        <v>40</v>
      </c>
      <c r="M145" s="220" t="s">
        <v>32</v>
      </c>
      <c r="N145" s="101">
        <v>0</v>
      </c>
      <c r="O145" s="101">
        <v>0</v>
      </c>
      <c r="P145" s="101">
        <v>90</v>
      </c>
      <c r="Q145" s="101">
        <v>0</v>
      </c>
      <c r="R145" s="101">
        <v>0</v>
      </c>
    </row>
    <row r="146" spans="1:18" s="166" customFormat="1" ht="60">
      <c r="A146" s="553"/>
      <c r="B146" s="95" t="s">
        <v>658</v>
      </c>
      <c r="C146" s="75"/>
      <c r="D146" s="75"/>
      <c r="E146" s="75"/>
      <c r="F146" s="614"/>
      <c r="G146" s="85"/>
      <c r="H146" s="85"/>
      <c r="I146" s="412" t="s">
        <v>1358</v>
      </c>
      <c r="J146" s="23" t="s">
        <v>70</v>
      </c>
      <c r="K146" s="413" t="s">
        <v>1359</v>
      </c>
      <c r="L146" s="122" t="s">
        <v>40</v>
      </c>
      <c r="M146" s="220" t="s">
        <v>32</v>
      </c>
      <c r="N146" s="101">
        <v>180.9</v>
      </c>
      <c r="O146" s="101">
        <v>180.9</v>
      </c>
      <c r="P146" s="101">
        <v>90</v>
      </c>
      <c r="Q146" s="101">
        <v>0</v>
      </c>
      <c r="R146" s="101">
        <v>0</v>
      </c>
    </row>
    <row r="147" spans="1:18" s="166" customFormat="1" ht="48.75" customHeight="1">
      <c r="A147" s="553"/>
      <c r="B147" s="95" t="s">
        <v>641</v>
      </c>
      <c r="C147" s="75"/>
      <c r="D147" s="75"/>
      <c r="E147" s="75"/>
      <c r="F147" s="614"/>
      <c r="G147" s="85"/>
      <c r="H147" s="85"/>
      <c r="I147" s="414" t="s">
        <v>1159</v>
      </c>
      <c r="J147" s="23" t="s">
        <v>70</v>
      </c>
      <c r="K147" s="413" t="s">
        <v>656</v>
      </c>
      <c r="L147" s="122" t="s">
        <v>40</v>
      </c>
      <c r="M147" s="220" t="s">
        <v>32</v>
      </c>
      <c r="N147" s="101">
        <v>186</v>
      </c>
      <c r="O147" s="101">
        <v>160</v>
      </c>
      <c r="P147" s="101">
        <v>0</v>
      </c>
      <c r="Q147" s="101">
        <v>0</v>
      </c>
      <c r="R147" s="101">
        <v>0</v>
      </c>
    </row>
    <row r="148" spans="1:18" s="166" customFormat="1" ht="48.75" customHeight="1">
      <c r="A148" s="554"/>
      <c r="B148" s="119" t="s">
        <v>563</v>
      </c>
      <c r="C148" s="304"/>
      <c r="D148" s="304"/>
      <c r="E148" s="304"/>
      <c r="F148" s="615"/>
      <c r="G148" s="304"/>
      <c r="H148" s="304"/>
      <c r="I148" s="36" t="s">
        <v>1160</v>
      </c>
      <c r="J148" s="36" t="s">
        <v>70</v>
      </c>
      <c r="K148" s="36" t="s">
        <v>939</v>
      </c>
      <c r="L148" s="297" t="s">
        <v>40</v>
      </c>
      <c r="M148" s="218" t="s">
        <v>32</v>
      </c>
      <c r="N148" s="77">
        <v>175.638</v>
      </c>
      <c r="O148" s="77">
        <v>175.638</v>
      </c>
      <c r="P148" s="77">
        <v>0</v>
      </c>
      <c r="Q148" s="77">
        <v>0</v>
      </c>
      <c r="R148" s="77">
        <v>0</v>
      </c>
    </row>
    <row r="149" spans="1:18" s="167" customFormat="1" ht="94.5" customHeight="1">
      <c r="A149" s="494" t="s">
        <v>807</v>
      </c>
      <c r="B149" s="312">
        <v>1035</v>
      </c>
      <c r="C149" s="527" t="s">
        <v>57</v>
      </c>
      <c r="D149" s="527" t="s">
        <v>379</v>
      </c>
      <c r="E149" s="527" t="s">
        <v>58</v>
      </c>
      <c r="F149" s="510" t="s">
        <v>31</v>
      </c>
      <c r="G149" s="607" t="s">
        <v>31</v>
      </c>
      <c r="H149" s="557" t="s">
        <v>31</v>
      </c>
      <c r="I149" s="415" t="s">
        <v>380</v>
      </c>
      <c r="J149" s="415" t="s">
        <v>216</v>
      </c>
      <c r="K149" s="416" t="s">
        <v>354</v>
      </c>
      <c r="L149" s="67" t="s">
        <v>40</v>
      </c>
      <c r="M149" s="67" t="s">
        <v>32</v>
      </c>
      <c r="N149" s="68">
        <f>SUM(N150:N151)</f>
        <v>221.62199999999999</v>
      </c>
      <c r="O149" s="68">
        <f>SUM(O150:O151)</f>
        <v>221.62199999999999</v>
      </c>
      <c r="P149" s="68">
        <f>SUM(P150:P151)</f>
        <v>0</v>
      </c>
      <c r="Q149" s="68">
        <f>SUM(Q150:Q151)</f>
        <v>0</v>
      </c>
      <c r="R149" s="68">
        <f>SUM(R150:R151)</f>
        <v>0</v>
      </c>
    </row>
    <row r="150" spans="1:18" s="167" customFormat="1" ht="62.25" customHeight="1">
      <c r="A150" s="501"/>
      <c r="B150" s="85" t="s">
        <v>940</v>
      </c>
      <c r="C150" s="528"/>
      <c r="D150" s="528"/>
      <c r="E150" s="528"/>
      <c r="F150" s="511"/>
      <c r="G150" s="608"/>
      <c r="H150" s="558"/>
      <c r="I150" s="417" t="s">
        <v>680</v>
      </c>
      <c r="J150" s="417" t="s">
        <v>70</v>
      </c>
      <c r="K150" s="418" t="s">
        <v>681</v>
      </c>
      <c r="L150" s="511"/>
      <c r="M150" s="511"/>
      <c r="N150" s="86">
        <f>34.072+166.35</f>
        <v>200.422</v>
      </c>
      <c r="O150" s="86">
        <f>34.072+166.35</f>
        <v>200.422</v>
      </c>
      <c r="P150" s="86">
        <v>0</v>
      </c>
      <c r="Q150" s="86">
        <v>0</v>
      </c>
      <c r="R150" s="86">
        <v>0</v>
      </c>
    </row>
    <row r="151" spans="1:18" s="167" customFormat="1" ht="84">
      <c r="A151" s="501"/>
      <c r="B151" s="106"/>
      <c r="C151" s="528"/>
      <c r="D151" s="528"/>
      <c r="E151" s="528"/>
      <c r="F151" s="511"/>
      <c r="G151" s="608"/>
      <c r="H151" s="558"/>
      <c r="I151" s="10" t="s">
        <v>1155</v>
      </c>
      <c r="J151" s="10" t="s">
        <v>70</v>
      </c>
      <c r="K151" s="11" t="s">
        <v>447</v>
      </c>
      <c r="L151" s="511"/>
      <c r="M151" s="511"/>
      <c r="N151" s="86">
        <v>21.2</v>
      </c>
      <c r="O151" s="86">
        <v>21.2</v>
      </c>
      <c r="P151" s="86">
        <v>0</v>
      </c>
      <c r="Q151" s="86">
        <v>0</v>
      </c>
      <c r="R151" s="86">
        <v>0</v>
      </c>
    </row>
    <row r="152" spans="1:18" s="167" customFormat="1" ht="72" hidden="1">
      <c r="A152" s="318" t="s">
        <v>808</v>
      </c>
      <c r="B152" s="70">
        <v>1037</v>
      </c>
      <c r="C152" s="64"/>
      <c r="D152" s="64"/>
      <c r="E152" s="64"/>
      <c r="F152" s="70"/>
      <c r="G152" s="70"/>
      <c r="H152" s="70"/>
      <c r="I152" s="330"/>
      <c r="J152" s="330"/>
      <c r="K152" s="331"/>
      <c r="L152" s="70"/>
      <c r="M152" s="70"/>
      <c r="N152" s="332"/>
      <c r="O152" s="332"/>
      <c r="P152" s="333"/>
      <c r="Q152" s="332"/>
      <c r="R152" s="334"/>
    </row>
    <row r="153" spans="1:18" s="167" customFormat="1" ht="36" customHeight="1">
      <c r="A153" s="104" t="s">
        <v>809</v>
      </c>
      <c r="B153" s="67">
        <v>1040</v>
      </c>
      <c r="C153" s="80"/>
      <c r="D153" s="80"/>
      <c r="E153" s="80"/>
      <c r="F153" s="67"/>
      <c r="G153" s="67"/>
      <c r="H153" s="67"/>
      <c r="I153" s="335"/>
      <c r="J153" s="335"/>
      <c r="K153" s="336"/>
      <c r="L153" s="67"/>
      <c r="M153" s="67"/>
      <c r="N153" s="68">
        <f>SUM(N154)</f>
        <v>524.268</v>
      </c>
      <c r="O153" s="68">
        <f>SUM(O154)</f>
        <v>524.268</v>
      </c>
      <c r="P153" s="68">
        <f>SUM(P154)</f>
        <v>975</v>
      </c>
      <c r="Q153" s="68">
        <f>SUM(Q154)</f>
        <v>975</v>
      </c>
      <c r="R153" s="68">
        <f>SUM(R154)</f>
        <v>975</v>
      </c>
    </row>
    <row r="154" spans="1:18" s="166" customFormat="1" ht="84.75" customHeight="1">
      <c r="A154" s="149" t="s">
        <v>1056</v>
      </c>
      <c r="B154" s="150"/>
      <c r="C154" s="150" t="s">
        <v>1057</v>
      </c>
      <c r="D154" s="150" t="s">
        <v>96</v>
      </c>
      <c r="E154" s="150" t="s">
        <v>97</v>
      </c>
      <c r="F154" s="150"/>
      <c r="G154" s="149"/>
      <c r="H154" s="149"/>
      <c r="I154" s="58" t="s">
        <v>1058</v>
      </c>
      <c r="J154" s="58" t="s">
        <v>1059</v>
      </c>
      <c r="K154" s="255" t="s">
        <v>93</v>
      </c>
      <c r="L154" s="150" t="s">
        <v>37</v>
      </c>
      <c r="M154" s="150" t="s">
        <v>33</v>
      </c>
      <c r="N154" s="156">
        <v>524.268</v>
      </c>
      <c r="O154" s="156">
        <v>524.268</v>
      </c>
      <c r="P154" s="156">
        <v>975</v>
      </c>
      <c r="Q154" s="156">
        <v>975</v>
      </c>
      <c r="R154" s="156">
        <v>975</v>
      </c>
    </row>
    <row r="155" spans="1:18" s="167" customFormat="1" ht="36">
      <c r="A155" s="90" t="s">
        <v>810</v>
      </c>
      <c r="B155" s="91">
        <v>1041</v>
      </c>
      <c r="C155" s="90"/>
      <c r="D155" s="90"/>
      <c r="E155" s="90"/>
      <c r="F155" s="90"/>
      <c r="G155" s="90"/>
      <c r="H155" s="90"/>
      <c r="I155" s="90"/>
      <c r="J155" s="90"/>
      <c r="K155" s="90"/>
      <c r="L155" s="91"/>
      <c r="M155" s="208"/>
      <c r="N155" s="337">
        <f>N156</f>
        <v>327.652</v>
      </c>
      <c r="O155" s="337">
        <f>O156</f>
        <v>282.842</v>
      </c>
      <c r="P155" s="337">
        <f>SUM(P156)</f>
        <v>374</v>
      </c>
      <c r="Q155" s="337">
        <f>Q156</f>
        <v>374</v>
      </c>
      <c r="R155" s="337">
        <f>R156</f>
        <v>374</v>
      </c>
    </row>
    <row r="156" spans="1:18" s="166" customFormat="1" ht="84">
      <c r="A156" s="84" t="s">
        <v>1060</v>
      </c>
      <c r="B156" s="80"/>
      <c r="C156" s="43" t="s">
        <v>57</v>
      </c>
      <c r="D156" s="43" t="s">
        <v>121</v>
      </c>
      <c r="E156" s="43" t="s">
        <v>58</v>
      </c>
      <c r="F156" s="84" t="s">
        <v>31</v>
      </c>
      <c r="G156" s="84" t="s">
        <v>31</v>
      </c>
      <c r="H156" s="84" t="s">
        <v>31</v>
      </c>
      <c r="I156" s="194" t="s">
        <v>122</v>
      </c>
      <c r="J156" s="194" t="s">
        <v>70</v>
      </c>
      <c r="K156" s="194" t="s">
        <v>123</v>
      </c>
      <c r="L156" s="587" t="s">
        <v>37</v>
      </c>
      <c r="M156" s="585" t="s">
        <v>35</v>
      </c>
      <c r="N156" s="233">
        <v>327.652</v>
      </c>
      <c r="O156" s="233">
        <v>282.842</v>
      </c>
      <c r="P156" s="233">
        <v>374</v>
      </c>
      <c r="Q156" s="233">
        <v>374</v>
      </c>
      <c r="R156" s="233">
        <v>374</v>
      </c>
    </row>
    <row r="157" spans="1:18" s="166" customFormat="1" ht="107.25" customHeight="1">
      <c r="A157" s="75"/>
      <c r="B157" s="85"/>
      <c r="C157" s="3"/>
      <c r="D157" s="3"/>
      <c r="E157" s="3"/>
      <c r="F157" s="75"/>
      <c r="G157" s="75"/>
      <c r="H157" s="75"/>
      <c r="I157" s="12" t="s">
        <v>624</v>
      </c>
      <c r="J157" s="12" t="s">
        <v>70</v>
      </c>
      <c r="K157" s="12" t="s">
        <v>450</v>
      </c>
      <c r="L157" s="588"/>
      <c r="M157" s="586"/>
      <c r="N157" s="234"/>
      <c r="O157" s="234"/>
      <c r="P157" s="234"/>
      <c r="Q157" s="234"/>
      <c r="R157" s="234"/>
    </row>
    <row r="158" spans="1:18" s="166" customFormat="1" ht="49.5" customHeight="1">
      <c r="A158" s="75"/>
      <c r="B158" s="85"/>
      <c r="C158" s="3"/>
      <c r="D158" s="3"/>
      <c r="E158" s="3"/>
      <c r="F158" s="75"/>
      <c r="G158" s="75"/>
      <c r="H158" s="75"/>
      <c r="I158" s="12" t="s">
        <v>613</v>
      </c>
      <c r="J158" s="12" t="s">
        <v>70</v>
      </c>
      <c r="K158" s="12" t="s">
        <v>614</v>
      </c>
      <c r="L158" s="120"/>
      <c r="M158" s="136"/>
      <c r="N158" s="234"/>
      <c r="O158" s="234"/>
      <c r="P158" s="234"/>
      <c r="Q158" s="234"/>
      <c r="R158" s="234"/>
    </row>
    <row r="159" spans="1:18" s="166" customFormat="1" ht="60">
      <c r="A159" s="75"/>
      <c r="B159" s="85"/>
      <c r="C159" s="3"/>
      <c r="D159" s="3"/>
      <c r="E159" s="3"/>
      <c r="F159" s="75"/>
      <c r="G159" s="75"/>
      <c r="H159" s="75"/>
      <c r="I159" s="14" t="s">
        <v>435</v>
      </c>
      <c r="J159" s="14" t="s">
        <v>70</v>
      </c>
      <c r="K159" s="14" t="s">
        <v>71</v>
      </c>
      <c r="L159" s="120"/>
      <c r="M159" s="85"/>
      <c r="N159" s="479"/>
      <c r="O159" s="479"/>
      <c r="P159" s="479"/>
      <c r="Q159" s="479"/>
      <c r="R159" s="479"/>
    </row>
    <row r="160" spans="1:18" s="166" customFormat="1" ht="30.75" customHeight="1">
      <c r="A160" s="69" t="s">
        <v>812</v>
      </c>
      <c r="B160" s="242" t="s">
        <v>811</v>
      </c>
      <c r="C160" s="44"/>
      <c r="D160" s="44"/>
      <c r="E160" s="44"/>
      <c r="F160" s="44"/>
      <c r="G160" s="44"/>
      <c r="H160" s="338"/>
      <c r="I160" s="319"/>
      <c r="J160" s="319"/>
      <c r="K160" s="319"/>
      <c r="L160" s="64"/>
      <c r="M160" s="64"/>
      <c r="N160" s="339">
        <f>SUM(N161:N169)</f>
        <v>1915.8319999999999</v>
      </c>
      <c r="O160" s="339">
        <f>SUM(O161:O169)</f>
        <v>1270.5919999999999</v>
      </c>
      <c r="P160" s="339">
        <f>SUM(P161:P169)</f>
        <v>650</v>
      </c>
      <c r="Q160" s="339">
        <f>SUM(Q161:Q169)</f>
        <v>650</v>
      </c>
      <c r="R160" s="339">
        <f>SUM(R161:R169)</f>
        <v>650</v>
      </c>
    </row>
    <row r="161" spans="1:18" s="166" customFormat="1" ht="142.5" customHeight="1">
      <c r="A161" s="75"/>
      <c r="B161" s="85"/>
      <c r="C161" s="43" t="s">
        <v>57</v>
      </c>
      <c r="D161" s="43" t="s">
        <v>121</v>
      </c>
      <c r="E161" s="43" t="s">
        <v>58</v>
      </c>
      <c r="F161" s="14" t="s">
        <v>585</v>
      </c>
      <c r="G161" s="14" t="s">
        <v>586</v>
      </c>
      <c r="H161" s="14" t="s">
        <v>1061</v>
      </c>
      <c r="I161" s="14" t="s">
        <v>1062</v>
      </c>
      <c r="J161" s="14" t="s">
        <v>70</v>
      </c>
      <c r="K161" s="14" t="s">
        <v>124</v>
      </c>
      <c r="L161" s="120" t="s">
        <v>37</v>
      </c>
      <c r="M161" s="136">
        <v>12</v>
      </c>
      <c r="N161" s="234">
        <f>36.332+88+499.5+25</f>
        <v>648.832</v>
      </c>
      <c r="O161" s="234">
        <f>36.332+88+199.5+25</f>
        <v>348.832</v>
      </c>
      <c r="P161" s="234">
        <v>650</v>
      </c>
      <c r="Q161" s="234">
        <v>650</v>
      </c>
      <c r="R161" s="234">
        <v>650</v>
      </c>
    </row>
    <row r="162" spans="1:18" s="166" customFormat="1" ht="60" customHeight="1">
      <c r="A162" s="75"/>
      <c r="B162" s="85"/>
      <c r="C162" s="536"/>
      <c r="D162" s="536"/>
      <c r="E162" s="536"/>
      <c r="F162" s="250"/>
      <c r="G162" s="250"/>
      <c r="H162" s="250"/>
      <c r="I162" s="14" t="s">
        <v>1067</v>
      </c>
      <c r="J162" s="14" t="s">
        <v>70</v>
      </c>
      <c r="K162" s="14" t="s">
        <v>1068</v>
      </c>
      <c r="L162" s="94"/>
      <c r="M162" s="136"/>
      <c r="N162" s="234"/>
      <c r="O162" s="234"/>
      <c r="P162" s="234"/>
      <c r="Q162" s="234"/>
      <c r="R162" s="234"/>
    </row>
    <row r="163" spans="1:18" s="166" customFormat="1" ht="72">
      <c r="A163" s="75"/>
      <c r="B163" s="85"/>
      <c r="C163" s="536"/>
      <c r="D163" s="536"/>
      <c r="E163" s="536"/>
      <c r="F163" s="250"/>
      <c r="G163" s="250"/>
      <c r="H163" s="250"/>
      <c r="I163" s="3" t="s">
        <v>626</v>
      </c>
      <c r="J163" s="14" t="s">
        <v>70</v>
      </c>
      <c r="K163" s="14" t="s">
        <v>625</v>
      </c>
      <c r="L163" s="94"/>
      <c r="M163" s="136"/>
      <c r="N163" s="234"/>
      <c r="O163" s="234"/>
      <c r="P163" s="234"/>
      <c r="Q163" s="234"/>
      <c r="R163" s="234"/>
    </row>
    <row r="164" spans="1:18" s="166" customFormat="1" ht="108" customHeight="1">
      <c r="A164" s="75"/>
      <c r="B164" s="85"/>
      <c r="C164" s="536"/>
      <c r="D164" s="536"/>
      <c r="E164" s="536"/>
      <c r="F164" s="250"/>
      <c r="G164" s="250"/>
      <c r="H164" s="250"/>
      <c r="I164" s="14" t="s">
        <v>587</v>
      </c>
      <c r="J164" s="14" t="s">
        <v>70</v>
      </c>
      <c r="K164" s="14" t="s">
        <v>125</v>
      </c>
      <c r="L164" s="94"/>
      <c r="M164" s="136"/>
      <c r="N164" s="234"/>
      <c r="O164" s="234"/>
      <c r="P164" s="234"/>
      <c r="Q164" s="234"/>
      <c r="R164" s="234"/>
    </row>
    <row r="165" spans="1:18" s="166" customFormat="1" ht="72">
      <c r="A165" s="75"/>
      <c r="B165" s="85"/>
      <c r="C165" s="536"/>
      <c r="D165" s="536"/>
      <c r="E165" s="536"/>
      <c r="F165" s="250"/>
      <c r="G165" s="250"/>
      <c r="H165" s="250"/>
      <c r="I165" s="14" t="s">
        <v>126</v>
      </c>
      <c r="J165" s="14" t="s">
        <v>70</v>
      </c>
      <c r="K165" s="14" t="s">
        <v>127</v>
      </c>
      <c r="L165" s="94"/>
      <c r="M165" s="136"/>
      <c r="N165" s="234"/>
      <c r="O165" s="234"/>
      <c r="P165" s="234"/>
      <c r="Q165" s="234"/>
      <c r="R165" s="234"/>
    </row>
    <row r="166" spans="1:18" s="166" customFormat="1" ht="48">
      <c r="A166" s="75"/>
      <c r="B166" s="85"/>
      <c r="C166" s="3"/>
      <c r="D166" s="3"/>
      <c r="E166" s="3"/>
      <c r="F166" s="250"/>
      <c r="G166" s="250"/>
      <c r="H166" s="250"/>
      <c r="I166" s="14" t="s">
        <v>1065</v>
      </c>
      <c r="J166" s="14" t="s">
        <v>70</v>
      </c>
      <c r="K166" s="14" t="s">
        <v>1066</v>
      </c>
      <c r="L166" s="94"/>
      <c r="M166" s="136"/>
      <c r="N166" s="234"/>
      <c r="O166" s="234"/>
      <c r="P166" s="234"/>
      <c r="Q166" s="234"/>
      <c r="R166" s="234"/>
    </row>
    <row r="167" spans="1:18" s="166" customFormat="1" ht="48">
      <c r="A167" s="75"/>
      <c r="B167" s="85"/>
      <c r="C167" s="3"/>
      <c r="D167" s="3"/>
      <c r="E167" s="3"/>
      <c r="F167" s="250"/>
      <c r="G167" s="250"/>
      <c r="H167" s="250"/>
      <c r="I167" s="14" t="s">
        <v>94</v>
      </c>
      <c r="J167" s="14" t="s">
        <v>70</v>
      </c>
      <c r="K167" s="14" t="s">
        <v>73</v>
      </c>
      <c r="L167" s="94"/>
      <c r="M167" s="136"/>
      <c r="N167" s="234"/>
      <c r="O167" s="234"/>
      <c r="P167" s="234"/>
      <c r="Q167" s="234"/>
      <c r="R167" s="234"/>
    </row>
    <row r="168" spans="1:18" s="166" customFormat="1" ht="72">
      <c r="A168" s="75"/>
      <c r="B168" s="95" t="s">
        <v>729</v>
      </c>
      <c r="C168" s="3"/>
      <c r="D168" s="3"/>
      <c r="E168" s="3"/>
      <c r="F168" s="3"/>
      <c r="G168" s="3"/>
      <c r="H168" s="3"/>
      <c r="I168" s="14" t="s">
        <v>730</v>
      </c>
      <c r="J168" s="14" t="s">
        <v>70</v>
      </c>
      <c r="K168" s="14" t="s">
        <v>731</v>
      </c>
      <c r="L168" s="85"/>
      <c r="M168" s="136"/>
      <c r="N168" s="234">
        <v>792</v>
      </c>
      <c r="O168" s="234">
        <v>792</v>
      </c>
      <c r="P168" s="234">
        <v>0</v>
      </c>
      <c r="Q168" s="234">
        <v>0</v>
      </c>
      <c r="R168" s="234">
        <v>0</v>
      </c>
    </row>
    <row r="169" spans="1:18" s="166" customFormat="1" ht="71.25" customHeight="1">
      <c r="A169" s="75"/>
      <c r="B169" s="95" t="s">
        <v>528</v>
      </c>
      <c r="C169" s="3"/>
      <c r="D169" s="3"/>
      <c r="E169" s="3"/>
      <c r="F169" s="3"/>
      <c r="G169" s="3"/>
      <c r="H169" s="3"/>
      <c r="I169" s="14" t="s">
        <v>1063</v>
      </c>
      <c r="J169" s="14" t="s">
        <v>70</v>
      </c>
      <c r="K169" s="14" t="s">
        <v>1064</v>
      </c>
      <c r="L169" s="85"/>
      <c r="M169" s="136"/>
      <c r="N169" s="234">
        <v>475</v>
      </c>
      <c r="O169" s="234">
        <v>129.76</v>
      </c>
      <c r="P169" s="234">
        <v>0</v>
      </c>
      <c r="Q169" s="234">
        <v>0</v>
      </c>
      <c r="R169" s="234">
        <v>0</v>
      </c>
    </row>
    <row r="170" spans="1:18" s="166" customFormat="1" ht="48" hidden="1">
      <c r="A170" s="69" t="s">
        <v>814</v>
      </c>
      <c r="B170" s="242" t="s">
        <v>813</v>
      </c>
      <c r="C170" s="44"/>
      <c r="D170" s="44"/>
      <c r="E170" s="44"/>
      <c r="F170" s="44"/>
      <c r="G170" s="44"/>
      <c r="H170" s="338"/>
      <c r="I170" s="319"/>
      <c r="J170" s="319"/>
      <c r="K170" s="319"/>
      <c r="L170" s="64"/>
      <c r="M170" s="64"/>
      <c r="N170" s="163"/>
      <c r="O170" s="163"/>
      <c r="P170" s="163"/>
      <c r="Q170" s="163"/>
      <c r="R170" s="340"/>
    </row>
    <row r="171" spans="1:18" s="166" customFormat="1" ht="48">
      <c r="A171" s="66" t="s">
        <v>816</v>
      </c>
      <c r="B171" s="111" t="s">
        <v>815</v>
      </c>
      <c r="C171" s="341"/>
      <c r="D171" s="341"/>
      <c r="E171" s="341"/>
      <c r="F171" s="341"/>
      <c r="G171" s="341"/>
      <c r="H171" s="342"/>
      <c r="I171" s="194"/>
      <c r="J171" s="194"/>
      <c r="K171" s="194"/>
      <c r="L171" s="80"/>
      <c r="M171" s="80"/>
      <c r="N171" s="343">
        <f>SUM(N173:N175)</f>
        <v>2036.7</v>
      </c>
      <c r="O171" s="343">
        <f>SUM(O173:O175)</f>
        <v>2036.7</v>
      </c>
      <c r="P171" s="343">
        <f>SUM(P173:P175)</f>
        <v>3903.2</v>
      </c>
      <c r="Q171" s="343">
        <f>SUM(Q173:Q175)</f>
        <v>10325.099999999999</v>
      </c>
      <c r="R171" s="343">
        <f>SUM(R173:R175)</f>
        <v>10325.099999999999</v>
      </c>
    </row>
    <row r="172" spans="1:18" s="167" customFormat="1" ht="12">
      <c r="A172" s="69" t="s">
        <v>100</v>
      </c>
      <c r="B172" s="70"/>
      <c r="C172" s="69"/>
      <c r="D172" s="69"/>
      <c r="E172" s="69"/>
      <c r="F172" s="69"/>
      <c r="G172" s="69"/>
      <c r="H172" s="69"/>
      <c r="I172" s="69"/>
      <c r="J172" s="69"/>
      <c r="K172" s="69"/>
      <c r="L172" s="67"/>
      <c r="M172" s="202"/>
      <c r="N172" s="229"/>
      <c r="O172" s="229"/>
      <c r="P172" s="229"/>
      <c r="Q172" s="229"/>
      <c r="R172" s="229"/>
    </row>
    <row r="173" spans="1:18" s="168" customFormat="1" ht="12">
      <c r="A173" s="128"/>
      <c r="B173" s="74"/>
      <c r="C173" s="128"/>
      <c r="D173" s="128"/>
      <c r="E173" s="128"/>
      <c r="F173" s="128"/>
      <c r="G173" s="128"/>
      <c r="H173" s="128"/>
      <c r="I173" s="128"/>
      <c r="J173" s="128"/>
      <c r="K173" s="128"/>
      <c r="L173" s="129" t="s">
        <v>24</v>
      </c>
      <c r="M173" s="216" t="s">
        <v>32</v>
      </c>
      <c r="N173" s="231">
        <f>N176+N181</f>
        <v>1931.44</v>
      </c>
      <c r="O173" s="231">
        <f>O176+O181</f>
        <v>1931.44</v>
      </c>
      <c r="P173" s="231">
        <f>P176+P181</f>
        <v>3903.2</v>
      </c>
      <c r="Q173" s="231">
        <f>Q176+Q181</f>
        <v>10325.099999999999</v>
      </c>
      <c r="R173" s="231">
        <f>R176+R181</f>
        <v>10325.099999999999</v>
      </c>
    </row>
    <row r="174" spans="1:18" s="168" customFormat="1" ht="12">
      <c r="A174" s="132"/>
      <c r="B174" s="174"/>
      <c r="C174" s="132"/>
      <c r="D174" s="132"/>
      <c r="E174" s="132"/>
      <c r="F174" s="132"/>
      <c r="G174" s="132"/>
      <c r="H174" s="132"/>
      <c r="I174" s="132"/>
      <c r="J174" s="132"/>
      <c r="K174" s="132"/>
      <c r="L174" s="134" t="s">
        <v>24</v>
      </c>
      <c r="M174" s="134" t="s">
        <v>36</v>
      </c>
      <c r="N174" s="133">
        <f>N183+N184</f>
        <v>0</v>
      </c>
      <c r="O174" s="133">
        <f>O183+O184</f>
        <v>0</v>
      </c>
      <c r="P174" s="133">
        <f>P183+P184</f>
        <v>0</v>
      </c>
      <c r="Q174" s="133">
        <f>Q183+Q184</f>
        <v>0</v>
      </c>
      <c r="R174" s="133">
        <f>R183+R184</f>
        <v>0</v>
      </c>
    </row>
    <row r="175" spans="1:18" s="168" customFormat="1" ht="12">
      <c r="A175" s="132"/>
      <c r="B175" s="174"/>
      <c r="C175" s="132"/>
      <c r="D175" s="132"/>
      <c r="E175" s="132"/>
      <c r="F175" s="132"/>
      <c r="G175" s="132"/>
      <c r="H175" s="132"/>
      <c r="I175" s="132"/>
      <c r="J175" s="132"/>
      <c r="K175" s="132"/>
      <c r="L175" s="134" t="s">
        <v>24</v>
      </c>
      <c r="M175" s="134" t="s">
        <v>41</v>
      </c>
      <c r="N175" s="133">
        <f>N178+N180</f>
        <v>105.26</v>
      </c>
      <c r="O175" s="133">
        <f>O178+O180</f>
        <v>105.26</v>
      </c>
      <c r="P175" s="133">
        <f>P178+P180</f>
        <v>0</v>
      </c>
      <c r="Q175" s="133">
        <f>Q178+Q180</f>
        <v>0</v>
      </c>
      <c r="R175" s="133">
        <f>R178+R180</f>
        <v>0</v>
      </c>
    </row>
    <row r="176" spans="1:18" s="166" customFormat="1" ht="120.75" customHeight="1">
      <c r="A176" s="506" t="s">
        <v>1142</v>
      </c>
      <c r="B176" s="85"/>
      <c r="C176" s="27" t="s">
        <v>57</v>
      </c>
      <c r="D176" s="27" t="s">
        <v>139</v>
      </c>
      <c r="E176" s="27" t="s">
        <v>58</v>
      </c>
      <c r="F176" s="27" t="s">
        <v>494</v>
      </c>
      <c r="G176" s="27" t="s">
        <v>496</v>
      </c>
      <c r="H176" s="27" t="s">
        <v>495</v>
      </c>
      <c r="I176" s="27" t="s">
        <v>694</v>
      </c>
      <c r="J176" s="27" t="s">
        <v>140</v>
      </c>
      <c r="K176" s="31" t="s">
        <v>141</v>
      </c>
      <c r="L176" s="88" t="s">
        <v>24</v>
      </c>
      <c r="M176" s="218" t="s">
        <v>32</v>
      </c>
      <c r="N176" s="137">
        <v>1931.44</v>
      </c>
      <c r="O176" s="137">
        <v>1931.44</v>
      </c>
      <c r="P176" s="137">
        <v>3903.2</v>
      </c>
      <c r="Q176" s="137">
        <v>4803.2</v>
      </c>
      <c r="R176" s="137">
        <v>4803.2</v>
      </c>
    </row>
    <row r="177" spans="1:18" s="166" customFormat="1" ht="48.75" customHeight="1">
      <c r="A177" s="506"/>
      <c r="B177" s="85"/>
      <c r="C177" s="14"/>
      <c r="D177" s="14"/>
      <c r="E177" s="14"/>
      <c r="F177" s="14"/>
      <c r="G177" s="14"/>
      <c r="H177" s="14"/>
      <c r="I177" s="14" t="s">
        <v>502</v>
      </c>
      <c r="J177" s="14" t="s">
        <v>70</v>
      </c>
      <c r="K177" s="14" t="s">
        <v>469</v>
      </c>
      <c r="L177" s="95"/>
      <c r="M177" s="212"/>
      <c r="N177" s="137"/>
      <c r="O177" s="137"/>
      <c r="P177" s="137"/>
      <c r="Q177" s="137"/>
      <c r="R177" s="137"/>
    </row>
    <row r="178" spans="1:18" s="166" customFormat="1" ht="84.75" customHeight="1">
      <c r="A178" s="506"/>
      <c r="B178" s="85"/>
      <c r="C178" s="85" t="s">
        <v>491</v>
      </c>
      <c r="D178" s="85" t="s">
        <v>492</v>
      </c>
      <c r="E178" s="85" t="s">
        <v>493</v>
      </c>
      <c r="F178" s="75"/>
      <c r="G178" s="75"/>
      <c r="H178" s="75"/>
      <c r="I178" s="85" t="s">
        <v>142</v>
      </c>
      <c r="J178" s="85" t="s">
        <v>70</v>
      </c>
      <c r="K178" s="136" t="s">
        <v>503</v>
      </c>
      <c r="L178" s="88" t="s">
        <v>24</v>
      </c>
      <c r="M178" s="218" t="s">
        <v>41</v>
      </c>
      <c r="N178" s="137">
        <v>5.26</v>
      </c>
      <c r="O178" s="137">
        <v>5.26</v>
      </c>
      <c r="P178" s="137">
        <v>0</v>
      </c>
      <c r="Q178" s="137">
        <v>0</v>
      </c>
      <c r="R178" s="137">
        <v>0</v>
      </c>
    </row>
    <row r="179" spans="1:18" s="166" customFormat="1" ht="84.75" customHeight="1">
      <c r="A179" s="93"/>
      <c r="B179" s="85"/>
      <c r="C179" s="85"/>
      <c r="D179" s="85"/>
      <c r="E179" s="85"/>
      <c r="F179" s="75"/>
      <c r="G179" s="75"/>
      <c r="H179" s="75"/>
      <c r="I179" s="85" t="s">
        <v>1117</v>
      </c>
      <c r="J179" s="85" t="s">
        <v>70</v>
      </c>
      <c r="K179" s="136" t="s">
        <v>120</v>
      </c>
      <c r="L179" s="88"/>
      <c r="M179" s="218"/>
      <c r="N179" s="137"/>
      <c r="O179" s="137"/>
      <c r="P179" s="137"/>
      <c r="Q179" s="137"/>
      <c r="R179" s="137"/>
    </row>
    <row r="180" spans="1:18" s="166" customFormat="1" ht="72.75" customHeight="1">
      <c r="A180" s="93" t="s">
        <v>1143</v>
      </c>
      <c r="B180" s="95" t="s">
        <v>755</v>
      </c>
      <c r="C180" s="75"/>
      <c r="D180" s="75"/>
      <c r="E180" s="75"/>
      <c r="F180" s="85"/>
      <c r="G180" s="85"/>
      <c r="H180" s="85"/>
      <c r="I180" s="14" t="s">
        <v>941</v>
      </c>
      <c r="J180" s="14" t="s">
        <v>70</v>
      </c>
      <c r="K180" s="248" t="s">
        <v>938</v>
      </c>
      <c r="L180" s="151" t="s">
        <v>24</v>
      </c>
      <c r="M180" s="151" t="s">
        <v>41</v>
      </c>
      <c r="N180" s="180">
        <v>100</v>
      </c>
      <c r="O180" s="180">
        <v>100</v>
      </c>
      <c r="P180" s="180">
        <v>0</v>
      </c>
      <c r="Q180" s="180">
        <v>0</v>
      </c>
      <c r="R180" s="180">
        <v>0</v>
      </c>
    </row>
    <row r="181" spans="1:18" s="166" customFormat="1" ht="48">
      <c r="A181" s="75" t="s">
        <v>1144</v>
      </c>
      <c r="B181" s="85">
        <v>567</v>
      </c>
      <c r="C181" s="75"/>
      <c r="D181" s="75"/>
      <c r="E181" s="75"/>
      <c r="F181" s="493" t="s">
        <v>134</v>
      </c>
      <c r="G181" s="493" t="s">
        <v>135</v>
      </c>
      <c r="H181" s="547" t="s">
        <v>136</v>
      </c>
      <c r="I181" s="394" t="s">
        <v>1233</v>
      </c>
      <c r="J181" s="394" t="s">
        <v>70</v>
      </c>
      <c r="K181" s="394" t="s">
        <v>1234</v>
      </c>
      <c r="L181" s="112">
        <v>11</v>
      </c>
      <c r="M181" s="113" t="s">
        <v>32</v>
      </c>
      <c r="N181" s="135"/>
      <c r="O181" s="135"/>
      <c r="P181" s="135">
        <v>0</v>
      </c>
      <c r="Q181" s="135">
        <v>5521.9</v>
      </c>
      <c r="R181" s="135">
        <v>5521.9</v>
      </c>
    </row>
    <row r="182" spans="1:18" s="166" customFormat="1" ht="48.75" customHeight="1">
      <c r="A182" s="75"/>
      <c r="B182" s="85"/>
      <c r="C182" s="75"/>
      <c r="D182" s="75"/>
      <c r="E182" s="75"/>
      <c r="F182" s="493"/>
      <c r="G182" s="493"/>
      <c r="H182" s="547"/>
      <c r="I182" s="23" t="s">
        <v>94</v>
      </c>
      <c r="J182" s="23" t="s">
        <v>70</v>
      </c>
      <c r="K182" s="23" t="s">
        <v>73</v>
      </c>
      <c r="L182" s="89"/>
      <c r="M182" s="89"/>
      <c r="N182" s="158"/>
      <c r="O182" s="158"/>
      <c r="P182" s="158"/>
      <c r="Q182" s="158"/>
      <c r="R182" s="158"/>
    </row>
    <row r="183" spans="1:18" s="166" customFormat="1" ht="108" customHeight="1">
      <c r="A183" s="93" t="s">
        <v>1145</v>
      </c>
      <c r="B183" s="95" t="s">
        <v>485</v>
      </c>
      <c r="C183" s="75"/>
      <c r="D183" s="75"/>
      <c r="E183" s="75"/>
      <c r="F183" s="85" t="s">
        <v>590</v>
      </c>
      <c r="G183" s="85" t="s">
        <v>591</v>
      </c>
      <c r="H183" s="85" t="s">
        <v>131</v>
      </c>
      <c r="I183" s="14" t="s">
        <v>531</v>
      </c>
      <c r="J183" s="14" t="s">
        <v>70</v>
      </c>
      <c r="K183" s="248" t="s">
        <v>508</v>
      </c>
      <c r="L183" s="151" t="s">
        <v>24</v>
      </c>
      <c r="M183" s="222" t="s">
        <v>36</v>
      </c>
      <c r="N183" s="180"/>
      <c r="O183" s="180"/>
      <c r="P183" s="180">
        <v>0</v>
      </c>
      <c r="Q183" s="180">
        <v>0</v>
      </c>
      <c r="R183" s="180">
        <v>0</v>
      </c>
    </row>
    <row r="184" spans="1:18" s="166" customFormat="1" ht="108" customHeight="1">
      <c r="A184" s="93" t="s">
        <v>1146</v>
      </c>
      <c r="B184" s="85"/>
      <c r="C184" s="75"/>
      <c r="D184" s="75"/>
      <c r="E184" s="75"/>
      <c r="F184" s="75"/>
      <c r="G184" s="75"/>
      <c r="H184" s="75"/>
      <c r="I184" s="85" t="s">
        <v>1116</v>
      </c>
      <c r="J184" s="75" t="s">
        <v>70</v>
      </c>
      <c r="K184" s="75" t="s">
        <v>138</v>
      </c>
      <c r="L184" s="80">
        <v>11</v>
      </c>
      <c r="M184" s="220" t="s">
        <v>36</v>
      </c>
      <c r="N184" s="180"/>
      <c r="O184" s="180"/>
      <c r="P184" s="180">
        <v>0</v>
      </c>
      <c r="Q184" s="180">
        <v>0</v>
      </c>
      <c r="R184" s="180">
        <v>0</v>
      </c>
    </row>
    <row r="185" spans="1:18" s="166" customFormat="1" ht="145.5" customHeight="1">
      <c r="A185" s="93"/>
      <c r="B185" s="85"/>
      <c r="C185" s="75"/>
      <c r="D185" s="75"/>
      <c r="E185" s="75"/>
      <c r="F185" s="75"/>
      <c r="G185" s="75"/>
      <c r="H185" s="75"/>
      <c r="I185" s="248" t="s">
        <v>649</v>
      </c>
      <c r="J185" s="27" t="s">
        <v>70</v>
      </c>
      <c r="K185" s="27" t="s">
        <v>474</v>
      </c>
      <c r="L185" s="298"/>
      <c r="M185" s="298"/>
      <c r="N185" s="232"/>
      <c r="O185" s="232"/>
      <c r="P185" s="232"/>
      <c r="Q185" s="232"/>
      <c r="R185" s="232"/>
    </row>
    <row r="186" spans="1:18" s="167" customFormat="1" ht="48">
      <c r="A186" s="66" t="s">
        <v>817</v>
      </c>
      <c r="B186" s="67">
        <v>1047</v>
      </c>
      <c r="C186" s="66" t="s">
        <v>31</v>
      </c>
      <c r="D186" s="66" t="s">
        <v>31</v>
      </c>
      <c r="E186" s="66" t="s">
        <v>31</v>
      </c>
      <c r="F186" s="66" t="s">
        <v>31</v>
      </c>
      <c r="G186" s="66" t="s">
        <v>31</v>
      </c>
      <c r="H186" s="66" t="s">
        <v>31</v>
      </c>
      <c r="I186" s="66" t="s">
        <v>31</v>
      </c>
      <c r="J186" s="66" t="s">
        <v>31</v>
      </c>
      <c r="K186" s="66" t="s">
        <v>31</v>
      </c>
      <c r="L186" s="67"/>
      <c r="M186" s="208"/>
      <c r="N186" s="344">
        <f>SUM(N188:N190)</f>
        <v>21551.688999999995</v>
      </c>
      <c r="O186" s="344">
        <f>SUM(O188:O190)</f>
        <v>21551.651999999995</v>
      </c>
      <c r="P186" s="344">
        <f>SUM(P188:P190)</f>
        <v>6608.336</v>
      </c>
      <c r="Q186" s="344">
        <f>SUM(Q188:Q190)</f>
        <v>4942.099999999999</v>
      </c>
      <c r="R186" s="344">
        <f>SUM(R188:R190)</f>
        <v>4942.099999999999</v>
      </c>
    </row>
    <row r="187" spans="1:18" s="167" customFormat="1" ht="12">
      <c r="A187" s="69" t="s">
        <v>100</v>
      </c>
      <c r="B187" s="70"/>
      <c r="C187" s="69"/>
      <c r="D187" s="69"/>
      <c r="E187" s="69"/>
      <c r="F187" s="69"/>
      <c r="G187" s="69"/>
      <c r="H187" s="69"/>
      <c r="I187" s="69"/>
      <c r="J187" s="69"/>
      <c r="K187" s="69"/>
      <c r="L187" s="67"/>
      <c r="M187" s="202"/>
      <c r="N187" s="229"/>
      <c r="O187" s="229"/>
      <c r="P187" s="229"/>
      <c r="Q187" s="229"/>
      <c r="R187" s="229"/>
    </row>
    <row r="188" spans="1:18" s="168" customFormat="1" ht="12">
      <c r="A188" s="71"/>
      <c r="B188" s="72"/>
      <c r="C188" s="71"/>
      <c r="D188" s="71"/>
      <c r="E188" s="71"/>
      <c r="F188" s="71"/>
      <c r="G188" s="71"/>
      <c r="H188" s="71"/>
      <c r="I188" s="71"/>
      <c r="J188" s="71"/>
      <c r="K188" s="71"/>
      <c r="L188" s="129" t="s">
        <v>24</v>
      </c>
      <c r="M188" s="216" t="s">
        <v>32</v>
      </c>
      <c r="N188" s="231">
        <f>N191</f>
        <v>0</v>
      </c>
      <c r="O188" s="231">
        <f>O191</f>
        <v>0</v>
      </c>
      <c r="P188" s="231">
        <f>P191</f>
        <v>0</v>
      </c>
      <c r="Q188" s="231">
        <f>Q191</f>
        <v>0</v>
      </c>
      <c r="R188" s="231">
        <f>R191</f>
        <v>0</v>
      </c>
    </row>
    <row r="189" spans="1:18" s="168" customFormat="1" ht="12">
      <c r="A189" s="128"/>
      <c r="B189" s="74"/>
      <c r="C189" s="128"/>
      <c r="D189" s="128"/>
      <c r="E189" s="128"/>
      <c r="F189" s="128"/>
      <c r="G189" s="128"/>
      <c r="H189" s="128"/>
      <c r="I189" s="128"/>
      <c r="J189" s="128"/>
      <c r="K189" s="128"/>
      <c r="L189" s="129" t="s">
        <v>24</v>
      </c>
      <c r="M189" s="216" t="s">
        <v>36</v>
      </c>
      <c r="N189" s="231">
        <f>N194+N196+N197+N200+N201+N202</f>
        <v>21397.088999999996</v>
      </c>
      <c r="O189" s="231">
        <f>O194+O196+O197+O200+O201+O202</f>
        <v>21397.051999999996</v>
      </c>
      <c r="P189" s="231">
        <f>P194+P196+P197+P200+P201+P202+P203+P204</f>
        <v>6378.071</v>
      </c>
      <c r="Q189" s="231">
        <f>Q194+Q196+Q197+Q200+Q201+Q202+Q203</f>
        <v>4714.299999999999</v>
      </c>
      <c r="R189" s="231">
        <f>R194+R196+R197+R200+R201+R202+R203</f>
        <v>4714.299999999999</v>
      </c>
    </row>
    <row r="190" spans="1:18" s="168" customFormat="1" ht="12">
      <c r="A190" s="132"/>
      <c r="B190" s="174"/>
      <c r="C190" s="132"/>
      <c r="D190" s="132"/>
      <c r="E190" s="132"/>
      <c r="F190" s="132"/>
      <c r="G190" s="132"/>
      <c r="H190" s="132"/>
      <c r="I190" s="132"/>
      <c r="J190" s="132"/>
      <c r="K190" s="132"/>
      <c r="L190" s="134" t="s">
        <v>24</v>
      </c>
      <c r="M190" s="210" t="s">
        <v>41</v>
      </c>
      <c r="N190" s="133">
        <f>N198+N199</f>
        <v>154.6</v>
      </c>
      <c r="O190" s="133">
        <f>O198+O199</f>
        <v>154.6</v>
      </c>
      <c r="P190" s="133">
        <f>P198+P199</f>
        <v>230.26500000000001</v>
      </c>
      <c r="Q190" s="133">
        <f>Q198+Q199</f>
        <v>227.8</v>
      </c>
      <c r="R190" s="133">
        <f>R198+R199</f>
        <v>227.8</v>
      </c>
    </row>
    <row r="191" spans="1:18" s="166" customFormat="1" ht="120.75" customHeight="1">
      <c r="A191" s="551"/>
      <c r="B191" s="85"/>
      <c r="C191" s="27" t="s">
        <v>57</v>
      </c>
      <c r="D191" s="27" t="s">
        <v>139</v>
      </c>
      <c r="E191" s="27" t="s">
        <v>58</v>
      </c>
      <c r="F191" s="27" t="s">
        <v>494</v>
      </c>
      <c r="G191" s="27" t="s">
        <v>496</v>
      </c>
      <c r="H191" s="27" t="s">
        <v>495</v>
      </c>
      <c r="I191" s="27" t="s">
        <v>694</v>
      </c>
      <c r="J191" s="27" t="s">
        <v>140</v>
      </c>
      <c r="K191" s="31" t="s">
        <v>141</v>
      </c>
      <c r="L191" s="113" t="s">
        <v>24</v>
      </c>
      <c r="M191" s="217" t="s">
        <v>32</v>
      </c>
      <c r="N191" s="135"/>
      <c r="O191" s="135"/>
      <c r="P191" s="135"/>
      <c r="Q191" s="135"/>
      <c r="R191" s="135"/>
    </row>
    <row r="192" spans="1:18" s="166" customFormat="1" ht="84.75" customHeight="1">
      <c r="A192" s="506"/>
      <c r="B192" s="85"/>
      <c r="C192" s="85" t="s">
        <v>491</v>
      </c>
      <c r="D192" s="85" t="s">
        <v>492</v>
      </c>
      <c r="E192" s="85" t="s">
        <v>493</v>
      </c>
      <c r="F192" s="75"/>
      <c r="G192" s="75"/>
      <c r="H192" s="75"/>
      <c r="I192" s="85" t="s">
        <v>142</v>
      </c>
      <c r="J192" s="85" t="s">
        <v>70</v>
      </c>
      <c r="K192" s="136" t="s">
        <v>503</v>
      </c>
      <c r="L192" s="88"/>
      <c r="M192" s="218"/>
      <c r="N192" s="137"/>
      <c r="O192" s="137"/>
      <c r="P192" s="137"/>
      <c r="Q192" s="137"/>
      <c r="R192" s="137"/>
    </row>
    <row r="193" spans="1:18" s="166" customFormat="1" ht="48.75" customHeight="1">
      <c r="A193" s="75"/>
      <c r="B193" s="85"/>
      <c r="C193" s="75"/>
      <c r="D193" s="75"/>
      <c r="E193" s="75"/>
      <c r="F193" s="14"/>
      <c r="G193" s="14"/>
      <c r="H193" s="248"/>
      <c r="I193" s="12" t="s">
        <v>94</v>
      </c>
      <c r="J193" s="12" t="s">
        <v>70</v>
      </c>
      <c r="K193" s="12" t="s">
        <v>73</v>
      </c>
      <c r="L193" s="65"/>
      <c r="M193" s="209"/>
      <c r="N193" s="138"/>
      <c r="O193" s="138"/>
      <c r="P193" s="138"/>
      <c r="Q193" s="138"/>
      <c r="R193" s="138"/>
    </row>
    <row r="194" spans="1:18" s="166" customFormat="1" ht="108" customHeight="1">
      <c r="A194" s="93"/>
      <c r="B194" s="85"/>
      <c r="C194" s="75"/>
      <c r="D194" s="75"/>
      <c r="E194" s="75"/>
      <c r="F194" s="75"/>
      <c r="G194" s="75"/>
      <c r="H194" s="75"/>
      <c r="I194" s="85" t="s">
        <v>1116</v>
      </c>
      <c r="J194" s="75" t="s">
        <v>70</v>
      </c>
      <c r="K194" s="75" t="s">
        <v>138</v>
      </c>
      <c r="L194" s="80">
        <v>11</v>
      </c>
      <c r="M194" s="220" t="s">
        <v>36</v>
      </c>
      <c r="N194" s="180">
        <f>126.74+90+34.97+2448.379</f>
        <v>2700.089</v>
      </c>
      <c r="O194" s="180">
        <f>126.74+90+34.97+2448.379</f>
        <v>2700.089</v>
      </c>
      <c r="P194" s="180">
        <f>991.971+130+2783.1+1573</f>
        <v>5478.071</v>
      </c>
      <c r="Q194" s="180">
        <f>512.6+3301.7</f>
        <v>3814.2999999999997</v>
      </c>
      <c r="R194" s="180">
        <f>512.6+3301.7</f>
        <v>3814.2999999999997</v>
      </c>
    </row>
    <row r="195" spans="1:18" s="166" customFormat="1" ht="145.5" customHeight="1">
      <c r="A195" s="93"/>
      <c r="B195" s="85"/>
      <c r="C195" s="75"/>
      <c r="D195" s="75"/>
      <c r="E195" s="75"/>
      <c r="F195" s="75"/>
      <c r="G195" s="75"/>
      <c r="H195" s="75"/>
      <c r="I195" s="248" t="s">
        <v>649</v>
      </c>
      <c r="J195" s="27" t="s">
        <v>70</v>
      </c>
      <c r="K195" s="27" t="s">
        <v>474</v>
      </c>
      <c r="L195" s="122"/>
      <c r="M195" s="220"/>
      <c r="N195" s="180"/>
      <c r="O195" s="180"/>
      <c r="P195" s="180"/>
      <c r="Q195" s="180"/>
      <c r="R195" s="180"/>
    </row>
    <row r="196" spans="1:18" s="166" customFormat="1" ht="108" customHeight="1">
      <c r="A196" s="93"/>
      <c r="B196" s="95" t="s">
        <v>485</v>
      </c>
      <c r="C196" s="75"/>
      <c r="D196" s="75"/>
      <c r="E196" s="75"/>
      <c r="F196" s="85" t="s">
        <v>590</v>
      </c>
      <c r="G196" s="85" t="s">
        <v>591</v>
      </c>
      <c r="H196" s="85" t="s">
        <v>131</v>
      </c>
      <c r="I196" s="14" t="s">
        <v>531</v>
      </c>
      <c r="J196" s="14" t="s">
        <v>70</v>
      </c>
      <c r="K196" s="248" t="s">
        <v>508</v>
      </c>
      <c r="L196" s="113" t="s">
        <v>24</v>
      </c>
      <c r="M196" s="217" t="s">
        <v>36</v>
      </c>
      <c r="N196" s="180">
        <v>17636.6</v>
      </c>
      <c r="O196" s="180">
        <v>17636.563</v>
      </c>
      <c r="P196" s="180">
        <v>0</v>
      </c>
      <c r="Q196" s="180">
        <v>0</v>
      </c>
      <c r="R196" s="180">
        <v>0</v>
      </c>
    </row>
    <row r="197" spans="1:18" s="166" customFormat="1" ht="13.5" customHeight="1">
      <c r="A197" s="93"/>
      <c r="B197" s="95"/>
      <c r="C197" s="75"/>
      <c r="D197" s="75"/>
      <c r="E197" s="75"/>
      <c r="F197" s="85"/>
      <c r="G197" s="85"/>
      <c r="H197" s="85"/>
      <c r="I197" s="14"/>
      <c r="J197" s="14"/>
      <c r="K197" s="248"/>
      <c r="L197" s="151" t="s">
        <v>24</v>
      </c>
      <c r="M197" s="151" t="s">
        <v>36</v>
      </c>
      <c r="N197" s="180">
        <v>50</v>
      </c>
      <c r="O197" s="180">
        <v>50</v>
      </c>
      <c r="P197" s="180">
        <v>0</v>
      </c>
      <c r="Q197" s="180">
        <v>0</v>
      </c>
      <c r="R197" s="180">
        <v>0</v>
      </c>
    </row>
    <row r="198" spans="1:18" s="166" customFormat="1" ht="131.25" customHeight="1">
      <c r="A198" s="93"/>
      <c r="B198" s="95" t="s">
        <v>364</v>
      </c>
      <c r="C198" s="75"/>
      <c r="D198" s="75"/>
      <c r="E198" s="75"/>
      <c r="F198" s="85" t="s">
        <v>588</v>
      </c>
      <c r="G198" s="85" t="s">
        <v>589</v>
      </c>
      <c r="H198" s="419">
        <v>40311</v>
      </c>
      <c r="I198" s="493" t="s">
        <v>1220</v>
      </c>
      <c r="J198" s="14" t="s">
        <v>70</v>
      </c>
      <c r="K198" s="14" t="s">
        <v>1221</v>
      </c>
      <c r="L198" s="95" t="s">
        <v>24</v>
      </c>
      <c r="M198" s="212" t="s">
        <v>41</v>
      </c>
      <c r="N198" s="180">
        <v>146.6</v>
      </c>
      <c r="O198" s="180">
        <v>146.6</v>
      </c>
      <c r="P198" s="180">
        <v>219.3</v>
      </c>
      <c r="Q198" s="180">
        <v>219.3</v>
      </c>
      <c r="R198" s="180">
        <v>219.3</v>
      </c>
    </row>
    <row r="199" spans="1:18" s="166" customFormat="1" ht="12">
      <c r="A199" s="93"/>
      <c r="B199" s="95"/>
      <c r="C199" s="75"/>
      <c r="D199" s="75"/>
      <c r="E199" s="75"/>
      <c r="F199" s="75"/>
      <c r="G199" s="75"/>
      <c r="H199" s="75"/>
      <c r="I199" s="493"/>
      <c r="J199" s="3"/>
      <c r="K199" s="464"/>
      <c r="L199" s="151" t="s">
        <v>24</v>
      </c>
      <c r="M199" s="222" t="s">
        <v>41</v>
      </c>
      <c r="N199" s="180">
        <v>8</v>
      </c>
      <c r="O199" s="180">
        <v>8</v>
      </c>
      <c r="P199" s="180">
        <v>10.965</v>
      </c>
      <c r="Q199" s="180">
        <v>8.5</v>
      </c>
      <c r="R199" s="180">
        <v>8.5</v>
      </c>
    </row>
    <row r="200" spans="1:18" s="166" customFormat="1" ht="108" customHeight="1">
      <c r="A200" s="93"/>
      <c r="B200" s="95" t="s">
        <v>942</v>
      </c>
      <c r="C200" s="75"/>
      <c r="D200" s="75"/>
      <c r="E200" s="75"/>
      <c r="F200" s="85"/>
      <c r="G200" s="85"/>
      <c r="H200" s="85"/>
      <c r="I200" s="14" t="s">
        <v>943</v>
      </c>
      <c r="J200" s="14" t="s">
        <v>70</v>
      </c>
      <c r="K200" s="248" t="s">
        <v>944</v>
      </c>
      <c r="L200" s="151" t="s">
        <v>24</v>
      </c>
      <c r="M200" s="151" t="s">
        <v>36</v>
      </c>
      <c r="N200" s="161">
        <v>900</v>
      </c>
      <c r="O200" s="161">
        <v>900</v>
      </c>
      <c r="P200" s="161">
        <v>0</v>
      </c>
      <c r="Q200" s="161">
        <v>0</v>
      </c>
      <c r="R200" s="161">
        <v>0</v>
      </c>
    </row>
    <row r="201" spans="1:18" s="166" customFormat="1" ht="60" customHeight="1">
      <c r="A201" s="93"/>
      <c r="B201" s="95" t="s">
        <v>945</v>
      </c>
      <c r="C201" s="75"/>
      <c r="D201" s="75"/>
      <c r="E201" s="75"/>
      <c r="F201" s="85"/>
      <c r="G201" s="85"/>
      <c r="H201" s="85"/>
      <c r="I201" s="14" t="s">
        <v>946</v>
      </c>
      <c r="J201" s="14" t="s">
        <v>70</v>
      </c>
      <c r="K201" s="248" t="s">
        <v>947</v>
      </c>
      <c r="L201" s="151" t="s">
        <v>24</v>
      </c>
      <c r="M201" s="151" t="s">
        <v>36</v>
      </c>
      <c r="N201" s="161">
        <v>105.1</v>
      </c>
      <c r="O201" s="161">
        <v>105.1</v>
      </c>
      <c r="P201" s="161">
        <v>0</v>
      </c>
      <c r="Q201" s="161">
        <v>0</v>
      </c>
      <c r="R201" s="161">
        <v>0</v>
      </c>
    </row>
    <row r="202" spans="1:18" s="166" customFormat="1" ht="12.75" customHeight="1">
      <c r="A202" s="93"/>
      <c r="B202" s="95"/>
      <c r="C202" s="75"/>
      <c r="D202" s="75"/>
      <c r="E202" s="75"/>
      <c r="F202" s="85"/>
      <c r="G202" s="85"/>
      <c r="H202" s="85"/>
      <c r="I202" s="14"/>
      <c r="J202" s="14"/>
      <c r="K202" s="248"/>
      <c r="L202" s="113" t="s">
        <v>24</v>
      </c>
      <c r="M202" s="113" t="s">
        <v>36</v>
      </c>
      <c r="N202" s="137">
        <v>5.3</v>
      </c>
      <c r="O202" s="137">
        <v>5.3</v>
      </c>
      <c r="P202" s="137">
        <v>0</v>
      </c>
      <c r="Q202" s="137">
        <v>0</v>
      </c>
      <c r="R202" s="137">
        <v>0</v>
      </c>
    </row>
    <row r="203" spans="1:18" s="166" customFormat="1" ht="48" customHeight="1">
      <c r="A203" s="93"/>
      <c r="B203" s="95" t="s">
        <v>1212</v>
      </c>
      <c r="C203" s="75"/>
      <c r="D203" s="75"/>
      <c r="E203" s="75"/>
      <c r="F203" s="85"/>
      <c r="G203" s="85"/>
      <c r="H203" s="85"/>
      <c r="I203" s="253" t="s">
        <v>464</v>
      </c>
      <c r="J203" s="253" t="s">
        <v>70</v>
      </c>
      <c r="K203" s="254" t="s">
        <v>355</v>
      </c>
      <c r="L203" s="321" t="s">
        <v>24</v>
      </c>
      <c r="M203" s="321" t="s">
        <v>36</v>
      </c>
      <c r="N203" s="322">
        <v>0</v>
      </c>
      <c r="O203" s="322">
        <v>0</v>
      </c>
      <c r="P203" s="322">
        <v>900</v>
      </c>
      <c r="Q203" s="322">
        <v>900</v>
      </c>
      <c r="R203" s="367">
        <v>900</v>
      </c>
    </row>
    <row r="204" spans="1:18" s="166" customFormat="1" ht="60.75" customHeight="1" hidden="1">
      <c r="A204" s="457"/>
      <c r="B204" s="117"/>
      <c r="C204" s="78"/>
      <c r="D204" s="78"/>
      <c r="E204" s="78"/>
      <c r="F204" s="65"/>
      <c r="G204" s="65"/>
      <c r="H204" s="65"/>
      <c r="I204" s="24"/>
      <c r="J204" s="24"/>
      <c r="K204" s="24"/>
      <c r="L204" s="321" t="s">
        <v>24</v>
      </c>
      <c r="M204" s="321" t="s">
        <v>36</v>
      </c>
      <c r="N204" s="322">
        <v>0</v>
      </c>
      <c r="O204" s="322">
        <v>0</v>
      </c>
      <c r="P204" s="322">
        <v>0</v>
      </c>
      <c r="Q204" s="322">
        <v>0</v>
      </c>
      <c r="R204" s="367">
        <v>0</v>
      </c>
    </row>
    <row r="205" spans="1:18" s="167" customFormat="1" ht="36">
      <c r="A205" s="318" t="s">
        <v>818</v>
      </c>
      <c r="B205" s="70">
        <v>1048</v>
      </c>
      <c r="C205" s="69"/>
      <c r="D205" s="69"/>
      <c r="E205" s="69"/>
      <c r="F205" s="69"/>
      <c r="G205" s="69"/>
      <c r="H205" s="69"/>
      <c r="I205" s="4"/>
      <c r="J205" s="4"/>
      <c r="K205" s="4"/>
      <c r="L205" s="106"/>
      <c r="M205" s="223"/>
      <c r="N205" s="461">
        <f>SUM(N206:N206)</f>
        <v>243</v>
      </c>
      <c r="O205" s="461">
        <f>SUM(O206:O206)</f>
        <v>243</v>
      </c>
      <c r="P205" s="461">
        <f>SUM(P206:P206)</f>
        <v>300</v>
      </c>
      <c r="Q205" s="461">
        <f>SUM(Q206:Q206)</f>
        <v>300</v>
      </c>
      <c r="R205" s="461">
        <f>SUM(R206:R206)</f>
        <v>300</v>
      </c>
    </row>
    <row r="206" spans="1:18" s="166" customFormat="1" ht="72.75" customHeight="1">
      <c r="A206" s="84"/>
      <c r="B206" s="67"/>
      <c r="C206" s="18" t="s">
        <v>143</v>
      </c>
      <c r="D206" s="18" t="s">
        <v>144</v>
      </c>
      <c r="E206" s="18" t="s">
        <v>58</v>
      </c>
      <c r="F206" s="18"/>
      <c r="G206" s="18"/>
      <c r="H206" s="18"/>
      <c r="I206" s="27" t="s">
        <v>145</v>
      </c>
      <c r="J206" s="27" t="s">
        <v>102</v>
      </c>
      <c r="K206" s="27" t="s">
        <v>146</v>
      </c>
      <c r="L206" s="130" t="s">
        <v>43</v>
      </c>
      <c r="M206" s="206" t="s">
        <v>43</v>
      </c>
      <c r="N206" s="101">
        <v>243</v>
      </c>
      <c r="O206" s="101">
        <v>243</v>
      </c>
      <c r="P206" s="101">
        <v>300</v>
      </c>
      <c r="Q206" s="101">
        <v>300</v>
      </c>
      <c r="R206" s="101">
        <v>300</v>
      </c>
    </row>
    <row r="207" spans="1:18" s="167" customFormat="1" ht="48">
      <c r="A207" s="66" t="s">
        <v>904</v>
      </c>
      <c r="B207" s="67">
        <v>1068</v>
      </c>
      <c r="C207" s="66" t="s">
        <v>31</v>
      </c>
      <c r="D207" s="66" t="s">
        <v>31</v>
      </c>
      <c r="E207" s="66" t="s">
        <v>31</v>
      </c>
      <c r="F207" s="66" t="s">
        <v>31</v>
      </c>
      <c r="G207" s="66" t="s">
        <v>31</v>
      </c>
      <c r="H207" s="66" t="s">
        <v>31</v>
      </c>
      <c r="I207" s="66" t="s">
        <v>31</v>
      </c>
      <c r="J207" s="66" t="s">
        <v>31</v>
      </c>
      <c r="K207" s="66" t="s">
        <v>31</v>
      </c>
      <c r="L207" s="67" t="s">
        <v>40</v>
      </c>
      <c r="M207" s="202" t="s">
        <v>32</v>
      </c>
      <c r="N207" s="229">
        <f>SUM(N209:N224)</f>
        <v>38644.933000000005</v>
      </c>
      <c r="O207" s="229">
        <f>SUM(O209:O224)</f>
        <v>38189.833</v>
      </c>
      <c r="P207" s="229">
        <f>SUM(P209:P224)</f>
        <v>40742.950500000006</v>
      </c>
      <c r="Q207" s="229">
        <f>SUM(Q209:Q224)</f>
        <v>8447.3</v>
      </c>
      <c r="R207" s="229">
        <f>SUM(R209:R224)</f>
        <v>8447.3</v>
      </c>
    </row>
    <row r="208" spans="1:18" s="167" customFormat="1" ht="12">
      <c r="A208" s="66" t="s">
        <v>100</v>
      </c>
      <c r="B208" s="67"/>
      <c r="C208" s="66"/>
      <c r="D208" s="66"/>
      <c r="E208" s="66"/>
      <c r="F208" s="66"/>
      <c r="G208" s="66"/>
      <c r="H208" s="66"/>
      <c r="I208" s="66"/>
      <c r="J208" s="66"/>
      <c r="K208" s="66"/>
      <c r="L208" s="67"/>
      <c r="M208" s="202"/>
      <c r="N208" s="229"/>
      <c r="O208" s="229"/>
      <c r="P208" s="229"/>
      <c r="Q208" s="229"/>
      <c r="R208" s="229"/>
    </row>
    <row r="209" spans="1:18" s="167" customFormat="1" ht="60" customHeight="1">
      <c r="A209" s="66"/>
      <c r="B209" s="67"/>
      <c r="C209" s="37" t="s">
        <v>57</v>
      </c>
      <c r="D209" s="37" t="s">
        <v>1161</v>
      </c>
      <c r="E209" s="37" t="s">
        <v>58</v>
      </c>
      <c r="F209" s="562" t="s">
        <v>1170</v>
      </c>
      <c r="G209" s="37" t="s">
        <v>96</v>
      </c>
      <c r="H209" s="37" t="s">
        <v>1165</v>
      </c>
      <c r="I209" s="37" t="s">
        <v>150</v>
      </c>
      <c r="J209" s="37" t="s">
        <v>70</v>
      </c>
      <c r="K209" s="38" t="s">
        <v>120</v>
      </c>
      <c r="L209" s="105"/>
      <c r="M209" s="224"/>
      <c r="N209" s="101">
        <f>229.51+37.4+951.046+6900.665+1.933</f>
        <v>8120.554</v>
      </c>
      <c r="O209" s="101">
        <f>229.51+37.4+951.046+6900.665+1.933</f>
        <v>8120.554</v>
      </c>
      <c r="P209" s="101">
        <f>2696.2505+7896.8</f>
        <v>10593.050500000001</v>
      </c>
      <c r="Q209" s="101">
        <v>8447.3</v>
      </c>
      <c r="R209" s="101">
        <v>8447.3</v>
      </c>
    </row>
    <row r="210" spans="1:18" s="167" customFormat="1" ht="72" customHeight="1">
      <c r="A210" s="90"/>
      <c r="B210" s="91"/>
      <c r="C210" s="15" t="s">
        <v>1162</v>
      </c>
      <c r="D210" s="15" t="s">
        <v>1163</v>
      </c>
      <c r="E210" s="411">
        <v>34716</v>
      </c>
      <c r="F210" s="567"/>
      <c r="G210" s="15"/>
      <c r="H210" s="15"/>
      <c r="I210" s="15" t="s">
        <v>505</v>
      </c>
      <c r="J210" s="15" t="s">
        <v>70</v>
      </c>
      <c r="K210" s="15" t="s">
        <v>120</v>
      </c>
      <c r="L210" s="91"/>
      <c r="M210" s="208"/>
      <c r="N210" s="77"/>
      <c r="O210" s="77"/>
      <c r="P210" s="77"/>
      <c r="Q210" s="77"/>
      <c r="R210" s="77"/>
    </row>
    <row r="211" spans="1:18" s="166" customFormat="1" ht="71.25" customHeight="1">
      <c r="A211" s="75"/>
      <c r="B211" s="85"/>
      <c r="C211" s="15"/>
      <c r="D211" s="15"/>
      <c r="E211" s="15"/>
      <c r="F211" s="15"/>
      <c r="G211" s="15"/>
      <c r="H211" s="15"/>
      <c r="I211" s="12" t="s">
        <v>467</v>
      </c>
      <c r="J211" s="12" t="s">
        <v>70</v>
      </c>
      <c r="K211" s="13" t="s">
        <v>468</v>
      </c>
      <c r="L211" s="85"/>
      <c r="M211" s="136"/>
      <c r="N211" s="77"/>
      <c r="O211" s="77"/>
      <c r="P211" s="77"/>
      <c r="Q211" s="77"/>
      <c r="R211" s="77"/>
    </row>
    <row r="212" spans="1:18" s="167" customFormat="1" ht="60">
      <c r="A212" s="90"/>
      <c r="B212" s="91"/>
      <c r="C212" s="15"/>
      <c r="D212" s="15"/>
      <c r="E212" s="15"/>
      <c r="F212" s="15"/>
      <c r="G212" s="15"/>
      <c r="H212" s="15"/>
      <c r="I212" s="15" t="s">
        <v>151</v>
      </c>
      <c r="J212" s="15" t="s">
        <v>70</v>
      </c>
      <c r="K212" s="39" t="s">
        <v>120</v>
      </c>
      <c r="L212" s="139"/>
      <c r="M212" s="214"/>
      <c r="N212" s="123"/>
      <c r="O212" s="123"/>
      <c r="P212" s="123"/>
      <c r="Q212" s="123"/>
      <c r="R212" s="123"/>
    </row>
    <row r="213" spans="1:18" s="167" customFormat="1" ht="108">
      <c r="A213" s="90"/>
      <c r="B213" s="91"/>
      <c r="C213" s="15"/>
      <c r="D213" s="15"/>
      <c r="E213" s="15"/>
      <c r="F213" s="15"/>
      <c r="G213" s="15"/>
      <c r="H213" s="15"/>
      <c r="I213" s="15" t="s">
        <v>152</v>
      </c>
      <c r="J213" s="15" t="s">
        <v>70</v>
      </c>
      <c r="K213" s="39" t="s">
        <v>120</v>
      </c>
      <c r="L213" s="139"/>
      <c r="M213" s="214"/>
      <c r="N213" s="123"/>
      <c r="O213" s="123"/>
      <c r="P213" s="123"/>
      <c r="Q213" s="123"/>
      <c r="R213" s="123"/>
    </row>
    <row r="214" spans="1:18" s="167" customFormat="1" ht="72">
      <c r="A214" s="90"/>
      <c r="B214" s="91"/>
      <c r="C214" s="15"/>
      <c r="D214" s="15"/>
      <c r="E214" s="15"/>
      <c r="F214" s="15"/>
      <c r="G214" s="15"/>
      <c r="H214" s="15"/>
      <c r="I214" s="15" t="s">
        <v>534</v>
      </c>
      <c r="J214" s="15" t="s">
        <v>70</v>
      </c>
      <c r="K214" s="39" t="s">
        <v>533</v>
      </c>
      <c r="L214" s="139"/>
      <c r="M214" s="214"/>
      <c r="N214" s="123"/>
      <c r="O214" s="123"/>
      <c r="P214" s="123"/>
      <c r="Q214" s="123"/>
      <c r="R214" s="123"/>
    </row>
    <row r="215" spans="1:18" s="167" customFormat="1" ht="47.25" customHeight="1">
      <c r="A215" s="90"/>
      <c r="B215" s="91"/>
      <c r="C215" s="15"/>
      <c r="D215" s="15"/>
      <c r="E215" s="15"/>
      <c r="F215" s="15"/>
      <c r="G215" s="15"/>
      <c r="H215" s="15"/>
      <c r="I215" s="15" t="s">
        <v>464</v>
      </c>
      <c r="J215" s="15" t="s">
        <v>70</v>
      </c>
      <c r="K215" s="39" t="s">
        <v>73</v>
      </c>
      <c r="L215" s="139"/>
      <c r="M215" s="214"/>
      <c r="N215" s="123"/>
      <c r="O215" s="123"/>
      <c r="P215" s="123"/>
      <c r="Q215" s="123"/>
      <c r="R215" s="123"/>
    </row>
    <row r="216" spans="1:18" s="166" customFormat="1" ht="72">
      <c r="A216" s="75"/>
      <c r="B216" s="95" t="s">
        <v>497</v>
      </c>
      <c r="C216" s="15"/>
      <c r="D216" s="15"/>
      <c r="E216" s="15"/>
      <c r="F216" s="15"/>
      <c r="G216" s="15"/>
      <c r="H216" s="15"/>
      <c r="I216" s="420" t="s">
        <v>739</v>
      </c>
      <c r="J216" s="15" t="s">
        <v>70</v>
      </c>
      <c r="K216" s="39" t="s">
        <v>740</v>
      </c>
      <c r="L216" s="63"/>
      <c r="M216" s="205"/>
      <c r="N216" s="77">
        <v>250</v>
      </c>
      <c r="O216" s="77">
        <v>250</v>
      </c>
      <c r="P216" s="77">
        <v>0</v>
      </c>
      <c r="Q216" s="77">
        <v>0</v>
      </c>
      <c r="R216" s="77">
        <v>0</v>
      </c>
    </row>
    <row r="217" spans="1:18" s="166" customFormat="1" ht="48" customHeight="1">
      <c r="A217" s="87"/>
      <c r="B217" s="88" t="s">
        <v>563</v>
      </c>
      <c r="C217" s="392"/>
      <c r="D217" s="392"/>
      <c r="E217" s="392"/>
      <c r="F217" s="392"/>
      <c r="G217" s="392"/>
      <c r="H217" s="392"/>
      <c r="I217" s="394" t="s">
        <v>1166</v>
      </c>
      <c r="J217" s="394" t="s">
        <v>70</v>
      </c>
      <c r="K217" s="394" t="s">
        <v>939</v>
      </c>
      <c r="L217" s="297"/>
      <c r="M217" s="218"/>
      <c r="N217" s="77">
        <v>39.162</v>
      </c>
      <c r="O217" s="77">
        <v>39.162</v>
      </c>
      <c r="P217" s="77">
        <v>0</v>
      </c>
      <c r="Q217" s="77">
        <v>0</v>
      </c>
      <c r="R217" s="77">
        <v>0</v>
      </c>
    </row>
    <row r="218" spans="1:18" s="166" customFormat="1" ht="24.75" customHeight="1">
      <c r="A218" s="87"/>
      <c r="B218" s="88" t="s">
        <v>470</v>
      </c>
      <c r="C218" s="392"/>
      <c r="D218" s="392"/>
      <c r="E218" s="392"/>
      <c r="F218" s="610" t="s">
        <v>1167</v>
      </c>
      <c r="G218" s="589" t="s">
        <v>1168</v>
      </c>
      <c r="H218" s="611" t="s">
        <v>324</v>
      </c>
      <c r="I218" s="590"/>
      <c r="J218" s="590"/>
      <c r="K218" s="590"/>
      <c r="L218" s="63"/>
      <c r="M218" s="205"/>
      <c r="N218" s="77"/>
      <c r="O218" s="77"/>
      <c r="P218" s="77"/>
      <c r="Q218" s="77"/>
      <c r="R218" s="77"/>
    </row>
    <row r="219" spans="1:18" s="166" customFormat="1" ht="0.75" customHeight="1">
      <c r="A219" s="87"/>
      <c r="B219" s="88"/>
      <c r="C219" s="392"/>
      <c r="D219" s="392"/>
      <c r="E219" s="392"/>
      <c r="F219" s="610"/>
      <c r="G219" s="589"/>
      <c r="H219" s="611"/>
      <c r="I219" s="590"/>
      <c r="J219" s="590"/>
      <c r="K219" s="590"/>
      <c r="L219" s="63"/>
      <c r="M219" s="205"/>
      <c r="N219" s="77"/>
      <c r="O219" s="77"/>
      <c r="P219" s="77"/>
      <c r="Q219" s="77"/>
      <c r="R219" s="77"/>
    </row>
    <row r="220" spans="1:18" s="166" customFormat="1" ht="24.75" customHeight="1">
      <c r="A220" s="87"/>
      <c r="B220" s="88" t="s">
        <v>725</v>
      </c>
      <c r="C220" s="392"/>
      <c r="D220" s="392"/>
      <c r="E220" s="392"/>
      <c r="F220" s="610"/>
      <c r="G220" s="589"/>
      <c r="H220" s="611"/>
      <c r="I220" s="590"/>
      <c r="J220" s="590"/>
      <c r="K220" s="590"/>
      <c r="L220" s="63"/>
      <c r="M220" s="205"/>
      <c r="N220" s="77">
        <v>37.508</v>
      </c>
      <c r="O220" s="77">
        <v>37.508</v>
      </c>
      <c r="P220" s="77">
        <v>0</v>
      </c>
      <c r="Q220" s="77">
        <v>0</v>
      </c>
      <c r="R220" s="77">
        <v>0</v>
      </c>
    </row>
    <row r="221" spans="1:18" s="166" customFormat="1" ht="24.75" customHeight="1">
      <c r="A221" s="75"/>
      <c r="B221" s="95" t="s">
        <v>726</v>
      </c>
      <c r="C221" s="127"/>
      <c r="D221" s="127"/>
      <c r="E221" s="127"/>
      <c r="F221" s="610"/>
      <c r="G221" s="589"/>
      <c r="H221" s="611"/>
      <c r="I221" s="567" t="s">
        <v>752</v>
      </c>
      <c r="J221" s="567" t="s">
        <v>70</v>
      </c>
      <c r="K221" s="526" t="s">
        <v>753</v>
      </c>
      <c r="L221" s="63"/>
      <c r="M221" s="205"/>
      <c r="N221" s="77">
        <v>1.975</v>
      </c>
      <c r="O221" s="77">
        <v>1.975</v>
      </c>
      <c r="P221" s="77">
        <v>0</v>
      </c>
      <c r="Q221" s="77">
        <v>0</v>
      </c>
      <c r="R221" s="77">
        <v>0</v>
      </c>
    </row>
    <row r="222" spans="1:18" s="166" customFormat="1" ht="24.75" customHeight="1">
      <c r="A222" s="75"/>
      <c r="B222" s="95" t="s">
        <v>727</v>
      </c>
      <c r="C222" s="127"/>
      <c r="D222" s="127"/>
      <c r="E222" s="127"/>
      <c r="F222" s="610"/>
      <c r="G222" s="589"/>
      <c r="H222" s="611"/>
      <c r="I222" s="567"/>
      <c r="J222" s="567"/>
      <c r="K222" s="526"/>
      <c r="L222" s="63"/>
      <c r="M222" s="205"/>
      <c r="N222" s="77">
        <v>25.251</v>
      </c>
      <c r="O222" s="77">
        <v>25.251</v>
      </c>
      <c r="P222" s="77">
        <v>0</v>
      </c>
      <c r="Q222" s="77">
        <v>0</v>
      </c>
      <c r="R222" s="77">
        <v>0</v>
      </c>
    </row>
    <row r="223" spans="1:18" s="166" customFormat="1" ht="24.75" customHeight="1">
      <c r="A223" s="75"/>
      <c r="B223" s="95" t="s">
        <v>728</v>
      </c>
      <c r="C223" s="127"/>
      <c r="D223" s="127"/>
      <c r="E223" s="127"/>
      <c r="F223" s="610"/>
      <c r="G223" s="589"/>
      <c r="H223" s="611"/>
      <c r="I223" s="567"/>
      <c r="J223" s="567"/>
      <c r="K223" s="526"/>
      <c r="L223" s="63"/>
      <c r="M223" s="205"/>
      <c r="N223" s="77">
        <v>11.483</v>
      </c>
      <c r="O223" s="77">
        <v>11.483</v>
      </c>
      <c r="P223" s="77">
        <v>0</v>
      </c>
      <c r="Q223" s="77">
        <v>0</v>
      </c>
      <c r="R223" s="77">
        <v>0</v>
      </c>
    </row>
    <row r="224" spans="1:18" s="166" customFormat="1" ht="107.25" customHeight="1">
      <c r="A224" s="78"/>
      <c r="B224" s="117" t="s">
        <v>149</v>
      </c>
      <c r="C224" s="140"/>
      <c r="D224" s="140"/>
      <c r="E224" s="140"/>
      <c r="F224" s="421" t="s">
        <v>1169</v>
      </c>
      <c r="G224" s="421" t="s">
        <v>581</v>
      </c>
      <c r="H224" s="421" t="s">
        <v>85</v>
      </c>
      <c r="I224" s="14" t="s">
        <v>1156</v>
      </c>
      <c r="J224" s="24" t="s">
        <v>70</v>
      </c>
      <c r="K224" s="422" t="s">
        <v>623</v>
      </c>
      <c r="L224" s="102"/>
      <c r="M224" s="225"/>
      <c r="N224" s="103">
        <v>30159</v>
      </c>
      <c r="O224" s="103">
        <v>29703.9</v>
      </c>
      <c r="P224" s="103">
        <v>30149.9</v>
      </c>
      <c r="Q224" s="103">
        <v>0</v>
      </c>
      <c r="R224" s="103">
        <v>0</v>
      </c>
    </row>
    <row r="225" spans="1:18" s="167" customFormat="1" ht="72">
      <c r="A225" s="66" t="s">
        <v>634</v>
      </c>
      <c r="B225" s="67" t="s">
        <v>46</v>
      </c>
      <c r="C225" s="67" t="s">
        <v>29</v>
      </c>
      <c r="D225" s="67" t="s">
        <v>29</v>
      </c>
      <c r="E225" s="67" t="s">
        <v>29</v>
      </c>
      <c r="F225" s="67" t="s">
        <v>29</v>
      </c>
      <c r="G225" s="67" t="s">
        <v>29</v>
      </c>
      <c r="H225" s="67" t="s">
        <v>29</v>
      </c>
      <c r="I225" s="67" t="s">
        <v>29</v>
      </c>
      <c r="J225" s="67" t="s">
        <v>29</v>
      </c>
      <c r="K225" s="67" t="s">
        <v>29</v>
      </c>
      <c r="L225" s="67"/>
      <c r="M225" s="202"/>
      <c r="N225" s="229">
        <f>N226+N227+N229+N230</f>
        <v>60562</v>
      </c>
      <c r="O225" s="229">
        <f>O226+O227+O229+O230</f>
        <v>60562</v>
      </c>
      <c r="P225" s="229">
        <f>P226+P227+P229+P230</f>
        <v>61588.275</v>
      </c>
      <c r="Q225" s="229">
        <f>Q226+Q227+Q229+Q230</f>
        <v>61412.299999999996</v>
      </c>
      <c r="R225" s="229">
        <f>R226+R227+R229+R230</f>
        <v>61412.299999999996</v>
      </c>
    </row>
    <row r="226" spans="1:18" s="167" customFormat="1" ht="73.5" customHeight="1">
      <c r="A226" s="66" t="s">
        <v>905</v>
      </c>
      <c r="B226" s="67">
        <v>1118</v>
      </c>
      <c r="C226" s="80" t="s">
        <v>57</v>
      </c>
      <c r="D226" s="80" t="s">
        <v>653</v>
      </c>
      <c r="E226" s="80" t="s">
        <v>58</v>
      </c>
      <c r="F226" s="80" t="s">
        <v>1170</v>
      </c>
      <c r="G226" s="80" t="s">
        <v>1164</v>
      </c>
      <c r="H226" s="80" t="s">
        <v>1165</v>
      </c>
      <c r="I226" s="80" t="s">
        <v>504</v>
      </c>
      <c r="J226" s="80" t="s">
        <v>70</v>
      </c>
      <c r="K226" s="80" t="s">
        <v>120</v>
      </c>
      <c r="L226" s="111" t="s">
        <v>40</v>
      </c>
      <c r="M226" s="226" t="s">
        <v>32</v>
      </c>
      <c r="N226" s="229">
        <v>15220.2</v>
      </c>
      <c r="O226" s="229">
        <v>15220.2</v>
      </c>
      <c r="P226" s="229">
        <f>14544.1+1000</f>
        <v>15544.1</v>
      </c>
      <c r="Q226" s="229">
        <f>14544.1+1000</f>
        <v>15544.1</v>
      </c>
      <c r="R226" s="229">
        <f>14544.1+1000</f>
        <v>15544.1</v>
      </c>
    </row>
    <row r="227" spans="1:18" s="167" customFormat="1" ht="60.75" customHeight="1">
      <c r="A227" s="66" t="s">
        <v>906</v>
      </c>
      <c r="B227" s="67">
        <v>1119</v>
      </c>
      <c r="C227" s="80" t="s">
        <v>57</v>
      </c>
      <c r="D227" s="80" t="s">
        <v>1171</v>
      </c>
      <c r="E227" s="80" t="s">
        <v>58</v>
      </c>
      <c r="F227" s="80"/>
      <c r="G227" s="80"/>
      <c r="H227" s="80"/>
      <c r="I227" s="80" t="s">
        <v>651</v>
      </c>
      <c r="J227" s="80" t="s">
        <v>70</v>
      </c>
      <c r="K227" s="80" t="s">
        <v>652</v>
      </c>
      <c r="L227" s="111" t="s">
        <v>40</v>
      </c>
      <c r="M227" s="111" t="s">
        <v>32</v>
      </c>
      <c r="N227" s="68">
        <f>5846.9+1927.1+3847+6901.1+3235.4+23560.3</f>
        <v>45317.8</v>
      </c>
      <c r="O227" s="68">
        <f>5846.9+1927.1+3847+6901.1+3235.4+23560.3</f>
        <v>45317.8</v>
      </c>
      <c r="P227" s="68">
        <f>22762.775+23281.4</f>
        <v>46044.175</v>
      </c>
      <c r="Q227" s="68">
        <f>5841.9+2086.1+3930+7196.8+3532+23281.4</f>
        <v>45868.2</v>
      </c>
      <c r="R227" s="235">
        <f>5841.9+2086.1+3930+7196.8+3532+23281.4</f>
        <v>45868.2</v>
      </c>
    </row>
    <row r="228" spans="1:18" s="167" customFormat="1" ht="60">
      <c r="A228" s="142"/>
      <c r="B228" s="106"/>
      <c r="C228" s="65"/>
      <c r="D228" s="65"/>
      <c r="E228" s="65"/>
      <c r="F228" s="65"/>
      <c r="G228" s="65"/>
      <c r="H228" s="65"/>
      <c r="I228" s="65" t="s">
        <v>162</v>
      </c>
      <c r="J228" s="65" t="s">
        <v>70</v>
      </c>
      <c r="K228" s="65" t="s">
        <v>652</v>
      </c>
      <c r="L228" s="191"/>
      <c r="M228" s="191"/>
      <c r="N228" s="143"/>
      <c r="O228" s="143"/>
      <c r="P228" s="143"/>
      <c r="Q228" s="143"/>
      <c r="R228" s="241"/>
    </row>
    <row r="229" spans="1:18" s="167" customFormat="1" ht="60">
      <c r="A229" s="66" t="s">
        <v>819</v>
      </c>
      <c r="B229" s="67">
        <v>1148</v>
      </c>
      <c r="C229" s="527" t="s">
        <v>57</v>
      </c>
      <c r="D229" s="527" t="s">
        <v>654</v>
      </c>
      <c r="E229" s="527" t="s">
        <v>58</v>
      </c>
      <c r="F229" s="527"/>
      <c r="G229" s="527"/>
      <c r="H229" s="527"/>
      <c r="I229" s="527" t="s">
        <v>150</v>
      </c>
      <c r="J229" s="527" t="s">
        <v>70</v>
      </c>
      <c r="K229" s="527" t="s">
        <v>120</v>
      </c>
      <c r="L229" s="111" t="s">
        <v>32</v>
      </c>
      <c r="M229" s="226" t="s">
        <v>33</v>
      </c>
      <c r="N229" s="229">
        <v>0</v>
      </c>
      <c r="O229" s="229">
        <v>0</v>
      </c>
      <c r="P229" s="229">
        <v>0</v>
      </c>
      <c r="Q229" s="229">
        <v>0</v>
      </c>
      <c r="R229" s="229">
        <v>0</v>
      </c>
    </row>
    <row r="230" spans="1:18" s="167" customFormat="1" ht="60">
      <c r="A230" s="66" t="s">
        <v>820</v>
      </c>
      <c r="B230" s="67">
        <v>1149</v>
      </c>
      <c r="C230" s="534"/>
      <c r="D230" s="534"/>
      <c r="E230" s="534"/>
      <c r="F230" s="534"/>
      <c r="G230" s="534"/>
      <c r="H230" s="534"/>
      <c r="I230" s="534"/>
      <c r="J230" s="534"/>
      <c r="K230" s="534"/>
      <c r="L230" s="111" t="s">
        <v>32</v>
      </c>
      <c r="M230" s="226" t="s">
        <v>33</v>
      </c>
      <c r="N230" s="229">
        <v>24</v>
      </c>
      <c r="O230" s="229">
        <v>24</v>
      </c>
      <c r="P230" s="229">
        <v>0</v>
      </c>
      <c r="Q230" s="229">
        <v>0</v>
      </c>
      <c r="R230" s="229">
        <v>0</v>
      </c>
    </row>
    <row r="231" spans="1:18" s="167" customFormat="1" ht="156" customHeight="1">
      <c r="A231" s="66" t="s">
        <v>635</v>
      </c>
      <c r="B231" s="67">
        <v>1200</v>
      </c>
      <c r="C231" s="67" t="s">
        <v>29</v>
      </c>
      <c r="D231" s="67" t="s">
        <v>29</v>
      </c>
      <c r="E231" s="67" t="s">
        <v>29</v>
      </c>
      <c r="F231" s="67" t="s">
        <v>29</v>
      </c>
      <c r="G231" s="67" t="s">
        <v>29</v>
      </c>
      <c r="H231" s="67" t="s">
        <v>29</v>
      </c>
      <c r="I231" s="67" t="s">
        <v>29</v>
      </c>
      <c r="J231" s="67" t="s">
        <v>29</v>
      </c>
      <c r="K231" s="67" t="s">
        <v>29</v>
      </c>
      <c r="L231" s="67"/>
      <c r="M231" s="202"/>
      <c r="N231" s="229">
        <f>N232+N240+N247+N248+N250+N251+N257+N261+N262+N263+N274</f>
        <v>129768.60989</v>
      </c>
      <c r="O231" s="229">
        <f>O232+O240+O247+O248+O250+O251+O257+O261+O262+O263+O274</f>
        <v>127919.88389</v>
      </c>
      <c r="P231" s="229">
        <f>P232+P240+P247+P248+P250+P251+P257+P261+P262+P263+P274</f>
        <v>123907.79999999999</v>
      </c>
      <c r="Q231" s="229">
        <f>Q232+Q240+Q247+Q248+Q250+Q251+Q257+Q261+Q262+Q263+Q274</f>
        <v>123174.19999999998</v>
      </c>
      <c r="R231" s="229">
        <f>R232+R240+R247+R248+R250+R251+R257+R261+R262+R263+R274</f>
        <v>122892.19999999998</v>
      </c>
    </row>
    <row r="232" spans="1:18" s="167" customFormat="1" ht="60">
      <c r="A232" s="66" t="s">
        <v>821</v>
      </c>
      <c r="B232" s="67">
        <v>1201</v>
      </c>
      <c r="C232" s="67"/>
      <c r="D232" s="67"/>
      <c r="E232" s="67"/>
      <c r="F232" s="67"/>
      <c r="G232" s="67"/>
      <c r="H232" s="67"/>
      <c r="I232" s="67"/>
      <c r="J232" s="67"/>
      <c r="K232" s="67"/>
      <c r="L232" s="67"/>
      <c r="M232" s="202"/>
      <c r="N232" s="229">
        <f>SUM(N234:N239)</f>
        <v>40038.01600000001</v>
      </c>
      <c r="O232" s="229">
        <f>SUM(O234:O239)</f>
        <v>38722.055</v>
      </c>
      <c r="P232" s="229">
        <f>SUM(P234:P239)</f>
        <v>35970.9</v>
      </c>
      <c r="Q232" s="229">
        <f>SUM(Q234:Q239)</f>
        <v>35590</v>
      </c>
      <c r="R232" s="229">
        <f>SUM(R234:R239)</f>
        <v>35590</v>
      </c>
    </row>
    <row r="233" spans="1:18" s="167" customFormat="1" ht="12">
      <c r="A233" s="66" t="s">
        <v>100</v>
      </c>
      <c r="B233" s="67"/>
      <c r="C233" s="67"/>
      <c r="D233" s="67"/>
      <c r="E233" s="67"/>
      <c r="F233" s="67"/>
      <c r="G233" s="67"/>
      <c r="H233" s="67"/>
      <c r="I233" s="67"/>
      <c r="J233" s="67"/>
      <c r="K233" s="67"/>
      <c r="L233" s="67"/>
      <c r="M233" s="202"/>
      <c r="N233" s="229"/>
      <c r="O233" s="229"/>
      <c r="P233" s="229"/>
      <c r="Q233" s="229"/>
      <c r="R233" s="229"/>
    </row>
    <row r="234" spans="1:18" s="166" customFormat="1" ht="24" customHeight="1">
      <c r="A234" s="84"/>
      <c r="B234" s="80"/>
      <c r="C234" s="513" t="s">
        <v>62</v>
      </c>
      <c r="D234" s="513" t="s">
        <v>153</v>
      </c>
      <c r="E234" s="537" t="s">
        <v>63</v>
      </c>
      <c r="F234" s="513" t="s">
        <v>381</v>
      </c>
      <c r="G234" s="513" t="s">
        <v>154</v>
      </c>
      <c r="H234" s="513" t="s">
        <v>64</v>
      </c>
      <c r="I234" s="513" t="s">
        <v>155</v>
      </c>
      <c r="J234" s="513" t="s">
        <v>156</v>
      </c>
      <c r="K234" s="513" t="s">
        <v>157</v>
      </c>
      <c r="L234" s="76" t="s">
        <v>32</v>
      </c>
      <c r="M234" s="204" t="s">
        <v>36</v>
      </c>
      <c r="N234" s="101">
        <v>617.2</v>
      </c>
      <c r="O234" s="101">
        <v>608.537</v>
      </c>
      <c r="P234" s="101">
        <v>520.2</v>
      </c>
      <c r="Q234" s="101">
        <v>520.2</v>
      </c>
      <c r="R234" s="101">
        <v>520.2</v>
      </c>
    </row>
    <row r="235" spans="1:18" s="166" customFormat="1" ht="24" customHeight="1">
      <c r="A235" s="75"/>
      <c r="B235" s="85"/>
      <c r="C235" s="502"/>
      <c r="D235" s="502"/>
      <c r="E235" s="508"/>
      <c r="F235" s="502"/>
      <c r="G235" s="502"/>
      <c r="H235" s="502"/>
      <c r="I235" s="502"/>
      <c r="J235" s="502"/>
      <c r="K235" s="502"/>
      <c r="L235" s="63" t="s">
        <v>32</v>
      </c>
      <c r="M235" s="205" t="s">
        <v>41</v>
      </c>
      <c r="N235" s="77">
        <v>1162.148</v>
      </c>
      <c r="O235" s="77">
        <v>1138.096</v>
      </c>
      <c r="P235" s="77">
        <f>476.8+425.9</f>
        <v>902.7</v>
      </c>
      <c r="Q235" s="77">
        <v>602.7</v>
      </c>
      <c r="R235" s="77">
        <v>602.7</v>
      </c>
    </row>
    <row r="236" spans="1:18" s="166" customFormat="1" ht="60" customHeight="1">
      <c r="A236" s="75"/>
      <c r="B236" s="85"/>
      <c r="C236" s="27" t="s">
        <v>57</v>
      </c>
      <c r="D236" s="27" t="s">
        <v>1070</v>
      </c>
      <c r="E236" s="28" t="s">
        <v>159</v>
      </c>
      <c r="F236" s="27"/>
      <c r="G236" s="27"/>
      <c r="H236" s="27"/>
      <c r="I236" s="27" t="s">
        <v>1071</v>
      </c>
      <c r="J236" s="27" t="s">
        <v>1072</v>
      </c>
      <c r="K236" s="27" t="s">
        <v>61</v>
      </c>
      <c r="L236" s="63" t="s">
        <v>32</v>
      </c>
      <c r="M236" s="205" t="s">
        <v>37</v>
      </c>
      <c r="N236" s="77">
        <v>22466.13</v>
      </c>
      <c r="O236" s="77">
        <v>21407.067</v>
      </c>
      <c r="P236" s="77">
        <f>160+19999.6</f>
        <v>20159.6</v>
      </c>
      <c r="Q236" s="77">
        <v>20162.2</v>
      </c>
      <c r="R236" s="77">
        <v>20162.2</v>
      </c>
    </row>
    <row r="237" spans="1:18" s="166" customFormat="1" ht="109.5" customHeight="1">
      <c r="A237" s="75"/>
      <c r="B237" s="85"/>
      <c r="C237" s="27" t="s">
        <v>1047</v>
      </c>
      <c r="D237" s="27" t="s">
        <v>1048</v>
      </c>
      <c r="E237" s="28" t="s">
        <v>1049</v>
      </c>
      <c r="F237" s="27"/>
      <c r="G237" s="27"/>
      <c r="H237" s="27"/>
      <c r="I237" s="27"/>
      <c r="J237" s="27"/>
      <c r="K237" s="27"/>
      <c r="L237" s="88" t="s">
        <v>32</v>
      </c>
      <c r="M237" s="218" t="s">
        <v>33</v>
      </c>
      <c r="N237" s="77">
        <v>6554.044</v>
      </c>
      <c r="O237" s="77">
        <v>6396.27</v>
      </c>
      <c r="P237" s="77">
        <f>5603.7+76.6+38.5+250</f>
        <v>5968.8</v>
      </c>
      <c r="Q237" s="77">
        <v>5885.2</v>
      </c>
      <c r="R237" s="77">
        <v>5885.2</v>
      </c>
    </row>
    <row r="238" spans="1:18" s="166" customFormat="1" ht="84">
      <c r="A238" s="75"/>
      <c r="B238" s="85"/>
      <c r="C238" s="27" t="s">
        <v>1118</v>
      </c>
      <c r="D238" s="27" t="s">
        <v>1119</v>
      </c>
      <c r="E238" s="23" t="s">
        <v>241</v>
      </c>
      <c r="F238" s="27"/>
      <c r="G238" s="27"/>
      <c r="H238" s="27"/>
      <c r="I238" s="27" t="s">
        <v>523</v>
      </c>
      <c r="J238" s="27" t="s">
        <v>160</v>
      </c>
      <c r="K238" s="27" t="s">
        <v>161</v>
      </c>
      <c r="L238" s="63" t="s">
        <v>43</v>
      </c>
      <c r="M238" s="205" t="s">
        <v>38</v>
      </c>
      <c r="N238" s="77">
        <v>5398.372</v>
      </c>
      <c r="O238" s="77">
        <v>5364.528</v>
      </c>
      <c r="P238" s="77">
        <f>5399.3+6.4</f>
        <v>5405.7</v>
      </c>
      <c r="Q238" s="77">
        <v>5405.8</v>
      </c>
      <c r="R238" s="77">
        <v>5405.8</v>
      </c>
    </row>
    <row r="239" spans="1:18" s="166" customFormat="1" ht="72">
      <c r="A239" s="75"/>
      <c r="B239" s="85"/>
      <c r="C239" s="27"/>
      <c r="D239" s="27"/>
      <c r="E239" s="27"/>
      <c r="F239" s="27"/>
      <c r="G239" s="27"/>
      <c r="H239" s="27"/>
      <c r="I239" s="27" t="s">
        <v>1172</v>
      </c>
      <c r="J239" s="23" t="s">
        <v>70</v>
      </c>
      <c r="K239" s="26" t="s">
        <v>120</v>
      </c>
      <c r="L239" s="63" t="s">
        <v>40</v>
      </c>
      <c r="M239" s="205" t="s">
        <v>37</v>
      </c>
      <c r="N239" s="77">
        <v>3840.122</v>
      </c>
      <c r="O239" s="77">
        <v>3807.557</v>
      </c>
      <c r="P239" s="77">
        <f>2982.9+31</f>
        <v>3013.9</v>
      </c>
      <c r="Q239" s="77">
        <v>3013.9</v>
      </c>
      <c r="R239" s="77">
        <v>3013.9</v>
      </c>
    </row>
    <row r="240" spans="1:18" s="167" customFormat="1" ht="60">
      <c r="A240" s="69" t="s">
        <v>822</v>
      </c>
      <c r="B240" s="70">
        <v>1202</v>
      </c>
      <c r="C240" s="345"/>
      <c r="D240" s="345"/>
      <c r="E240" s="345"/>
      <c r="F240" s="345"/>
      <c r="G240" s="345"/>
      <c r="H240" s="345"/>
      <c r="I240" s="345"/>
      <c r="J240" s="346"/>
      <c r="K240" s="347"/>
      <c r="L240" s="70"/>
      <c r="M240" s="67"/>
      <c r="N240" s="68">
        <f>SUM(N241:N246)</f>
        <v>67105.30900000001</v>
      </c>
      <c r="O240" s="68">
        <f>SUM(O241:O246)</f>
        <v>66909.404</v>
      </c>
      <c r="P240" s="68">
        <f>SUM(P241:P246)</f>
        <v>64158.4</v>
      </c>
      <c r="Q240" s="68">
        <f>SUM(Q241:Q246)</f>
        <v>64156.9</v>
      </c>
      <c r="R240" s="68">
        <f>SUM(R241:R246)</f>
        <v>64156.9</v>
      </c>
    </row>
    <row r="241" spans="1:18" s="166" customFormat="1" ht="144">
      <c r="A241" s="84"/>
      <c r="B241" s="80"/>
      <c r="C241" s="43" t="s">
        <v>62</v>
      </c>
      <c r="D241" s="43" t="s">
        <v>153</v>
      </c>
      <c r="E241" s="51" t="s">
        <v>63</v>
      </c>
      <c r="F241" s="43" t="s">
        <v>381</v>
      </c>
      <c r="G241" s="43" t="s">
        <v>154</v>
      </c>
      <c r="H241" s="43" t="s">
        <v>64</v>
      </c>
      <c r="I241" s="43" t="s">
        <v>1331</v>
      </c>
      <c r="J241" s="43" t="s">
        <v>70</v>
      </c>
      <c r="K241" s="43" t="s">
        <v>592</v>
      </c>
      <c r="L241" s="220" t="s">
        <v>32</v>
      </c>
      <c r="M241" s="151" t="s">
        <v>36</v>
      </c>
      <c r="N241" s="156">
        <v>3031.555</v>
      </c>
      <c r="O241" s="156">
        <v>3020.249</v>
      </c>
      <c r="P241" s="156">
        <v>1850</v>
      </c>
      <c r="Q241" s="156">
        <v>1850</v>
      </c>
      <c r="R241" s="156">
        <v>1850</v>
      </c>
    </row>
    <row r="242" spans="1:18" s="166" customFormat="1" ht="72">
      <c r="A242" s="75"/>
      <c r="B242" s="85"/>
      <c r="C242" s="14" t="s">
        <v>57</v>
      </c>
      <c r="D242" s="14" t="s">
        <v>158</v>
      </c>
      <c r="E242" s="181" t="s">
        <v>159</v>
      </c>
      <c r="F242" s="250"/>
      <c r="G242" s="250"/>
      <c r="H242" s="250"/>
      <c r="I242" s="248" t="s">
        <v>69</v>
      </c>
      <c r="J242" s="14" t="s">
        <v>70</v>
      </c>
      <c r="K242" s="14" t="s">
        <v>68</v>
      </c>
      <c r="L242" s="220" t="s">
        <v>32</v>
      </c>
      <c r="M242" s="151" t="s">
        <v>41</v>
      </c>
      <c r="N242" s="156">
        <v>1464</v>
      </c>
      <c r="O242" s="156">
        <v>1462.542</v>
      </c>
      <c r="P242" s="156">
        <v>1400</v>
      </c>
      <c r="Q242" s="156">
        <v>1400</v>
      </c>
      <c r="R242" s="156">
        <v>1400</v>
      </c>
    </row>
    <row r="243" spans="1:18" s="166" customFormat="1" ht="108">
      <c r="A243" s="75"/>
      <c r="B243" s="85"/>
      <c r="C243" s="14" t="s">
        <v>1047</v>
      </c>
      <c r="D243" s="14" t="s">
        <v>1048</v>
      </c>
      <c r="E243" s="181" t="s">
        <v>1049</v>
      </c>
      <c r="F243" s="14"/>
      <c r="G243" s="14"/>
      <c r="H243" s="14"/>
      <c r="I243" s="248" t="s">
        <v>155</v>
      </c>
      <c r="J243" s="14" t="s">
        <v>156</v>
      </c>
      <c r="K243" s="14" t="s">
        <v>157</v>
      </c>
      <c r="L243" s="220" t="s">
        <v>32</v>
      </c>
      <c r="M243" s="151" t="s">
        <v>37</v>
      </c>
      <c r="N243" s="156">
        <v>29455.58</v>
      </c>
      <c r="O243" s="156">
        <v>29320.059</v>
      </c>
      <c r="P243" s="156">
        <v>27779</v>
      </c>
      <c r="Q243" s="156">
        <v>27779</v>
      </c>
      <c r="R243" s="156">
        <v>27779</v>
      </c>
    </row>
    <row r="244" spans="1:18" s="166" customFormat="1" ht="96" customHeight="1">
      <c r="A244" s="75"/>
      <c r="B244" s="85"/>
      <c r="C244" s="14" t="s">
        <v>383</v>
      </c>
      <c r="D244" s="14" t="s">
        <v>1073</v>
      </c>
      <c r="E244" s="14" t="s">
        <v>66</v>
      </c>
      <c r="F244" s="14" t="s">
        <v>1053</v>
      </c>
      <c r="G244" s="14" t="s">
        <v>1074</v>
      </c>
      <c r="H244" s="14" t="s">
        <v>67</v>
      </c>
      <c r="I244" s="375"/>
      <c r="J244" s="376"/>
      <c r="K244" s="377"/>
      <c r="L244" s="220" t="s">
        <v>32</v>
      </c>
      <c r="M244" s="151" t="s">
        <v>33</v>
      </c>
      <c r="N244" s="156">
        <v>14811.456</v>
      </c>
      <c r="O244" s="156">
        <v>14768.314</v>
      </c>
      <c r="P244" s="156">
        <f>13945+850</f>
        <v>14795</v>
      </c>
      <c r="Q244" s="156">
        <v>14793.5</v>
      </c>
      <c r="R244" s="156">
        <v>14793.5</v>
      </c>
    </row>
    <row r="245" spans="1:18" s="166" customFormat="1" ht="84">
      <c r="A245" s="75"/>
      <c r="B245" s="85"/>
      <c r="C245" s="27" t="s">
        <v>1118</v>
      </c>
      <c r="D245" s="27" t="s">
        <v>1119</v>
      </c>
      <c r="E245" s="23" t="s">
        <v>241</v>
      </c>
      <c r="F245" s="14"/>
      <c r="G245" s="14"/>
      <c r="H245" s="14"/>
      <c r="I245" s="27" t="s">
        <v>523</v>
      </c>
      <c r="J245" s="27" t="s">
        <v>160</v>
      </c>
      <c r="K245" s="27" t="s">
        <v>161</v>
      </c>
      <c r="L245" s="220" t="s">
        <v>43</v>
      </c>
      <c r="M245" s="151" t="s">
        <v>38</v>
      </c>
      <c r="N245" s="156">
        <v>11851.16</v>
      </c>
      <c r="O245" s="156">
        <v>11846.682</v>
      </c>
      <c r="P245" s="156">
        <v>11885.6</v>
      </c>
      <c r="Q245" s="156">
        <v>11885.6</v>
      </c>
      <c r="R245" s="156">
        <v>11885.6</v>
      </c>
    </row>
    <row r="246" spans="1:18" s="166" customFormat="1" ht="12">
      <c r="A246" s="78"/>
      <c r="B246" s="65"/>
      <c r="C246" s="24"/>
      <c r="D246" s="24"/>
      <c r="E246" s="24"/>
      <c r="F246" s="24"/>
      <c r="G246" s="24"/>
      <c r="H246" s="24"/>
      <c r="I246" s="14"/>
      <c r="J246" s="12"/>
      <c r="K246" s="13"/>
      <c r="L246" s="220" t="s">
        <v>40</v>
      </c>
      <c r="M246" s="151" t="s">
        <v>37</v>
      </c>
      <c r="N246" s="156">
        <v>6491.558</v>
      </c>
      <c r="O246" s="156">
        <v>6491.558</v>
      </c>
      <c r="P246" s="156">
        <v>6448.8</v>
      </c>
      <c r="Q246" s="156">
        <v>6448.8</v>
      </c>
      <c r="R246" s="156">
        <v>6448.8</v>
      </c>
    </row>
    <row r="247" spans="1:18" s="167" customFormat="1" ht="72" hidden="1">
      <c r="A247" s="66" t="s">
        <v>823</v>
      </c>
      <c r="B247" s="67">
        <v>1203</v>
      </c>
      <c r="C247" s="348"/>
      <c r="D247" s="348"/>
      <c r="E247" s="348"/>
      <c r="F247" s="348"/>
      <c r="G247" s="348"/>
      <c r="H247" s="348"/>
      <c r="I247" s="348"/>
      <c r="J247" s="349"/>
      <c r="K247" s="350"/>
      <c r="L247" s="83"/>
      <c r="M247" s="83"/>
      <c r="N247" s="148"/>
      <c r="O247" s="148"/>
      <c r="P247" s="148"/>
      <c r="Q247" s="148"/>
      <c r="R247" s="148"/>
    </row>
    <row r="248" spans="1:18" s="167" customFormat="1" ht="59.25" customHeight="1">
      <c r="A248" s="494" t="s">
        <v>824</v>
      </c>
      <c r="B248" s="510">
        <v>1204</v>
      </c>
      <c r="C248" s="43" t="s">
        <v>57</v>
      </c>
      <c r="D248" s="43" t="s">
        <v>387</v>
      </c>
      <c r="E248" s="51" t="s">
        <v>159</v>
      </c>
      <c r="F248" s="66" t="s">
        <v>31</v>
      </c>
      <c r="G248" s="66" t="s">
        <v>31</v>
      </c>
      <c r="H248" s="66" t="s">
        <v>31</v>
      </c>
      <c r="I248" s="80" t="s">
        <v>391</v>
      </c>
      <c r="J248" s="84" t="s">
        <v>70</v>
      </c>
      <c r="K248" s="311" t="s">
        <v>392</v>
      </c>
      <c r="L248" s="312" t="s">
        <v>26</v>
      </c>
      <c r="M248" s="208" t="s">
        <v>32</v>
      </c>
      <c r="N248" s="123">
        <v>514.37389</v>
      </c>
      <c r="O248" s="123">
        <v>514.37389</v>
      </c>
      <c r="P248" s="123">
        <v>712</v>
      </c>
      <c r="Q248" s="123">
        <v>354</v>
      </c>
      <c r="R248" s="123">
        <v>72</v>
      </c>
    </row>
    <row r="249" spans="1:18" s="167" customFormat="1" ht="48" customHeight="1">
      <c r="A249" s="495"/>
      <c r="B249" s="512"/>
      <c r="C249" s="24"/>
      <c r="D249" s="24"/>
      <c r="E249" s="52"/>
      <c r="F249" s="142"/>
      <c r="G249" s="142"/>
      <c r="H249" s="142"/>
      <c r="I249" s="65" t="s">
        <v>393</v>
      </c>
      <c r="J249" s="78" t="s">
        <v>70</v>
      </c>
      <c r="K249" s="65" t="s">
        <v>394</v>
      </c>
      <c r="L249" s="106"/>
      <c r="M249" s="227"/>
      <c r="N249" s="108"/>
      <c r="O249" s="108"/>
      <c r="P249" s="108"/>
      <c r="Q249" s="108"/>
      <c r="R249" s="109"/>
    </row>
    <row r="250" spans="1:18" s="167" customFormat="1" ht="72" customHeight="1">
      <c r="A250" s="66" t="s">
        <v>825</v>
      </c>
      <c r="B250" s="67">
        <v>1206</v>
      </c>
      <c r="C250" s="41" t="s">
        <v>57</v>
      </c>
      <c r="D250" s="41" t="s">
        <v>386</v>
      </c>
      <c r="E250" s="41" t="s">
        <v>58</v>
      </c>
      <c r="F250" s="41"/>
      <c r="G250" s="41"/>
      <c r="H250" s="41"/>
      <c r="I250" s="41" t="s">
        <v>593</v>
      </c>
      <c r="J250" s="41" t="s">
        <v>70</v>
      </c>
      <c r="K250" s="424" t="s">
        <v>61</v>
      </c>
      <c r="L250" s="351" t="s">
        <v>32</v>
      </c>
      <c r="M250" s="352" t="s">
        <v>37</v>
      </c>
      <c r="N250" s="353">
        <v>910</v>
      </c>
      <c r="O250" s="353">
        <v>910</v>
      </c>
      <c r="P250" s="353">
        <v>910</v>
      </c>
      <c r="Q250" s="353">
        <v>910</v>
      </c>
      <c r="R250" s="353">
        <v>910</v>
      </c>
    </row>
    <row r="251" spans="1:18" s="167" customFormat="1" ht="108" customHeight="1">
      <c r="A251" s="66" t="s">
        <v>826</v>
      </c>
      <c r="B251" s="67">
        <v>1208</v>
      </c>
      <c r="C251" s="66" t="s">
        <v>31</v>
      </c>
      <c r="D251" s="66" t="s">
        <v>31</v>
      </c>
      <c r="E251" s="66" t="s">
        <v>31</v>
      </c>
      <c r="F251" s="66" t="s">
        <v>31</v>
      </c>
      <c r="G251" s="66" t="s">
        <v>31</v>
      </c>
      <c r="H251" s="66" t="s">
        <v>31</v>
      </c>
      <c r="I251" s="66" t="s">
        <v>31</v>
      </c>
      <c r="J251" s="66" t="s">
        <v>31</v>
      </c>
      <c r="K251" s="66" t="s">
        <v>31</v>
      </c>
      <c r="L251" s="67" t="s">
        <v>32</v>
      </c>
      <c r="M251" s="202" t="s">
        <v>26</v>
      </c>
      <c r="N251" s="229">
        <f>SUM(N253:N256)</f>
        <v>11189.815</v>
      </c>
      <c r="O251" s="229">
        <f>SUM(O253:O256)</f>
        <v>11166.033</v>
      </c>
      <c r="P251" s="229">
        <f>SUM(P253:P256)</f>
        <v>11187.599999999999</v>
      </c>
      <c r="Q251" s="229">
        <f>SUM(Q253:Q256)</f>
        <v>11169.400000000001</v>
      </c>
      <c r="R251" s="229">
        <f>SUM(R253:R256)</f>
        <v>11169.400000000001</v>
      </c>
    </row>
    <row r="252" spans="1:18" s="166" customFormat="1" ht="12">
      <c r="A252" s="84" t="s">
        <v>100</v>
      </c>
      <c r="B252" s="80"/>
      <c r="C252" s="84"/>
      <c r="D252" s="84"/>
      <c r="E252" s="84"/>
      <c r="F252" s="84"/>
      <c r="G252" s="84"/>
      <c r="H252" s="84"/>
      <c r="I252" s="84"/>
      <c r="J252" s="84"/>
      <c r="K252" s="84"/>
      <c r="L252" s="80"/>
      <c r="M252" s="206"/>
      <c r="N252" s="101"/>
      <c r="O252" s="101"/>
      <c r="P252" s="101"/>
      <c r="Q252" s="101"/>
      <c r="R252" s="101"/>
    </row>
    <row r="253" spans="1:18" s="166" customFormat="1" ht="50.25" customHeight="1">
      <c r="A253" s="84"/>
      <c r="B253" s="80"/>
      <c r="C253" s="425" t="s">
        <v>57</v>
      </c>
      <c r="D253" s="425" t="s">
        <v>163</v>
      </c>
      <c r="E253" s="410" t="s">
        <v>58</v>
      </c>
      <c r="F253" s="18"/>
      <c r="G253" s="18"/>
      <c r="H253" s="18"/>
      <c r="I253" s="18" t="s">
        <v>164</v>
      </c>
      <c r="J253" s="18" t="s">
        <v>165</v>
      </c>
      <c r="K253" s="18" t="s">
        <v>166</v>
      </c>
      <c r="L253" s="76"/>
      <c r="M253" s="204"/>
      <c r="N253" s="101">
        <v>11189.815</v>
      </c>
      <c r="O253" s="101">
        <v>11166.033</v>
      </c>
      <c r="P253" s="101">
        <f>2406.8+8760.8+20</f>
        <v>11187.599999999999</v>
      </c>
      <c r="Q253" s="101">
        <f>2406.8+8742.6+20</f>
        <v>11169.400000000001</v>
      </c>
      <c r="R253" s="101">
        <f>2406.8+8742.6+20</f>
        <v>11169.400000000001</v>
      </c>
    </row>
    <row r="254" spans="1:18" s="166" customFormat="1" ht="94.5" customHeight="1">
      <c r="A254" s="75"/>
      <c r="B254" s="85"/>
      <c r="C254" s="14" t="s">
        <v>383</v>
      </c>
      <c r="D254" s="14" t="s">
        <v>116</v>
      </c>
      <c r="E254" s="42" t="s">
        <v>66</v>
      </c>
      <c r="F254" s="27" t="s">
        <v>382</v>
      </c>
      <c r="G254" s="27" t="s">
        <v>1069</v>
      </c>
      <c r="H254" s="27" t="s">
        <v>67</v>
      </c>
      <c r="I254" s="40"/>
      <c r="J254" s="40"/>
      <c r="K254" s="40"/>
      <c r="L254" s="63"/>
      <c r="M254" s="205"/>
      <c r="N254" s="77"/>
      <c r="O254" s="77"/>
      <c r="P254" s="77"/>
      <c r="Q254" s="77"/>
      <c r="R254" s="77"/>
    </row>
    <row r="255" spans="1:18" s="166" customFormat="1" ht="66" customHeight="1">
      <c r="A255" s="75"/>
      <c r="B255" s="85"/>
      <c r="C255" s="493" t="s">
        <v>167</v>
      </c>
      <c r="D255" s="493" t="s">
        <v>168</v>
      </c>
      <c r="E255" s="524" t="s">
        <v>169</v>
      </c>
      <c r="F255" s="493" t="s">
        <v>170</v>
      </c>
      <c r="G255" s="14" t="s">
        <v>171</v>
      </c>
      <c r="H255" s="14" t="s">
        <v>172</v>
      </c>
      <c r="I255" s="14" t="s">
        <v>173</v>
      </c>
      <c r="J255" s="14" t="s">
        <v>70</v>
      </c>
      <c r="K255" s="14" t="s">
        <v>174</v>
      </c>
      <c r="L255" s="85"/>
      <c r="M255" s="136"/>
      <c r="N255" s="77"/>
      <c r="O255" s="77"/>
      <c r="P255" s="77"/>
      <c r="Q255" s="77"/>
      <c r="R255" s="77"/>
    </row>
    <row r="256" spans="1:18" s="166" customFormat="1" ht="66" customHeight="1">
      <c r="A256" s="75"/>
      <c r="B256" s="85"/>
      <c r="C256" s="493"/>
      <c r="D256" s="493"/>
      <c r="E256" s="524"/>
      <c r="F256" s="493"/>
      <c r="G256" s="14"/>
      <c r="H256" s="14"/>
      <c r="I256" s="14"/>
      <c r="J256" s="14"/>
      <c r="K256" s="14"/>
      <c r="L256" s="85"/>
      <c r="M256" s="136"/>
      <c r="N256" s="77"/>
      <c r="O256" s="77"/>
      <c r="P256" s="77"/>
      <c r="Q256" s="77"/>
      <c r="R256" s="77"/>
    </row>
    <row r="257" spans="1:18" s="167" customFormat="1" ht="84" customHeight="1">
      <c r="A257" s="494" t="s">
        <v>827</v>
      </c>
      <c r="B257" s="354">
        <v>1213</v>
      </c>
      <c r="C257" s="403" t="s">
        <v>384</v>
      </c>
      <c r="D257" s="403" t="s">
        <v>175</v>
      </c>
      <c r="E257" s="403" t="s">
        <v>176</v>
      </c>
      <c r="F257" s="403" t="s">
        <v>385</v>
      </c>
      <c r="G257" s="403" t="s">
        <v>177</v>
      </c>
      <c r="H257" s="403" t="s">
        <v>178</v>
      </c>
      <c r="I257" s="403" t="s">
        <v>179</v>
      </c>
      <c r="J257" s="403" t="s">
        <v>165</v>
      </c>
      <c r="K257" s="403" t="s">
        <v>64</v>
      </c>
      <c r="L257" s="105" t="s">
        <v>32</v>
      </c>
      <c r="M257" s="224" t="s">
        <v>43</v>
      </c>
      <c r="N257" s="229">
        <v>2415</v>
      </c>
      <c r="O257" s="229">
        <v>2415</v>
      </c>
      <c r="P257" s="229">
        <v>0</v>
      </c>
      <c r="Q257" s="229">
        <v>0</v>
      </c>
      <c r="R257" s="229">
        <v>0</v>
      </c>
    </row>
    <row r="258" spans="1:18" s="167" customFormat="1" ht="96">
      <c r="A258" s="501"/>
      <c r="B258" s="386"/>
      <c r="C258" s="402" t="s">
        <v>180</v>
      </c>
      <c r="D258" s="402" t="s">
        <v>181</v>
      </c>
      <c r="E258" s="402" t="s">
        <v>182</v>
      </c>
      <c r="F258" s="402" t="s">
        <v>183</v>
      </c>
      <c r="G258" s="402" t="s">
        <v>184</v>
      </c>
      <c r="H258" s="402" t="s">
        <v>185</v>
      </c>
      <c r="I258" s="378"/>
      <c r="J258" s="378"/>
      <c r="K258" s="378"/>
      <c r="L258" s="139"/>
      <c r="M258" s="214"/>
      <c r="N258" s="123"/>
      <c r="O258" s="123"/>
      <c r="P258" s="123"/>
      <c r="Q258" s="123"/>
      <c r="R258" s="123"/>
    </row>
    <row r="259" spans="1:18" s="167" customFormat="1" ht="60">
      <c r="A259" s="501"/>
      <c r="B259" s="386"/>
      <c r="C259" s="402" t="s">
        <v>57</v>
      </c>
      <c r="D259" s="402" t="s">
        <v>186</v>
      </c>
      <c r="E259" s="402" t="s">
        <v>58</v>
      </c>
      <c r="F259" s="402" t="s">
        <v>187</v>
      </c>
      <c r="G259" s="402" t="s">
        <v>188</v>
      </c>
      <c r="H259" s="402" t="s">
        <v>189</v>
      </c>
      <c r="I259" s="378"/>
      <c r="J259" s="378"/>
      <c r="K259" s="378"/>
      <c r="L259" s="139"/>
      <c r="M259" s="214"/>
      <c r="N259" s="123"/>
      <c r="O259" s="123"/>
      <c r="P259" s="123"/>
      <c r="Q259" s="123"/>
      <c r="R259" s="123"/>
    </row>
    <row r="260" spans="1:18" s="167" customFormat="1" ht="72">
      <c r="A260" s="495"/>
      <c r="B260" s="387"/>
      <c r="C260" s="426" t="s">
        <v>190</v>
      </c>
      <c r="D260" s="426" t="s">
        <v>191</v>
      </c>
      <c r="E260" s="426" t="s">
        <v>192</v>
      </c>
      <c r="F260" s="247"/>
      <c r="G260" s="247"/>
      <c r="H260" s="247"/>
      <c r="I260" s="379"/>
      <c r="J260" s="379"/>
      <c r="K260" s="379"/>
      <c r="L260" s="107"/>
      <c r="M260" s="215"/>
      <c r="N260" s="108"/>
      <c r="O260" s="108"/>
      <c r="P260" s="108"/>
      <c r="Q260" s="108"/>
      <c r="R260" s="108"/>
    </row>
    <row r="261" spans="1:18" s="167" customFormat="1" ht="61.5" customHeight="1" hidden="1">
      <c r="A261" s="494" t="s">
        <v>636</v>
      </c>
      <c r="B261" s="67">
        <v>1216</v>
      </c>
      <c r="C261" s="43" t="s">
        <v>57</v>
      </c>
      <c r="D261" s="43" t="s">
        <v>193</v>
      </c>
      <c r="E261" s="51" t="s">
        <v>159</v>
      </c>
      <c r="F261" s="43" t="s">
        <v>59</v>
      </c>
      <c r="G261" s="43" t="s">
        <v>60</v>
      </c>
      <c r="H261" s="43" t="s">
        <v>61</v>
      </c>
      <c r="I261" s="43" t="s">
        <v>194</v>
      </c>
      <c r="J261" s="43" t="s">
        <v>195</v>
      </c>
      <c r="K261" s="43" t="s">
        <v>61</v>
      </c>
      <c r="L261" s="67" t="s">
        <v>32</v>
      </c>
      <c r="M261" s="202" t="s">
        <v>37</v>
      </c>
      <c r="N261" s="229"/>
      <c r="O261" s="229"/>
      <c r="P261" s="229"/>
      <c r="Q261" s="229"/>
      <c r="R261" s="229"/>
    </row>
    <row r="262" spans="1:18" s="167" customFormat="1" ht="61.5" customHeight="1" hidden="1">
      <c r="A262" s="495"/>
      <c r="B262" s="106"/>
      <c r="C262" s="24"/>
      <c r="D262" s="24"/>
      <c r="E262" s="52"/>
      <c r="F262" s="24"/>
      <c r="G262" s="24"/>
      <c r="H262" s="24"/>
      <c r="I262" s="24"/>
      <c r="J262" s="24"/>
      <c r="K262" s="24"/>
      <c r="L262" s="111" t="s">
        <v>23</v>
      </c>
      <c r="M262" s="226" t="s">
        <v>33</v>
      </c>
      <c r="N262" s="229"/>
      <c r="O262" s="229"/>
      <c r="P262" s="229"/>
      <c r="Q262" s="229"/>
      <c r="R262" s="229"/>
    </row>
    <row r="263" spans="1:18" s="167" customFormat="1" ht="21" customHeight="1">
      <c r="A263" s="494" t="s">
        <v>828</v>
      </c>
      <c r="B263" s="510">
        <v>1221</v>
      </c>
      <c r="C263" s="497" t="s">
        <v>1050</v>
      </c>
      <c r="D263" s="497" t="s">
        <v>1051</v>
      </c>
      <c r="E263" s="523" t="s">
        <v>1052</v>
      </c>
      <c r="F263" s="497" t="s">
        <v>1053</v>
      </c>
      <c r="G263" s="497" t="s">
        <v>1054</v>
      </c>
      <c r="H263" s="523" t="s">
        <v>67</v>
      </c>
      <c r="I263" s="497" t="s">
        <v>741</v>
      </c>
      <c r="J263" s="497" t="s">
        <v>70</v>
      </c>
      <c r="K263" s="497" t="s">
        <v>71</v>
      </c>
      <c r="L263" s="242"/>
      <c r="M263" s="242"/>
      <c r="N263" s="332">
        <f>SUM(N264:N273)</f>
        <v>7491.335999999999</v>
      </c>
      <c r="O263" s="332">
        <f>SUM(O264:O273)</f>
        <v>7283.018</v>
      </c>
      <c r="P263" s="332">
        <f>SUM(P264:P273)</f>
        <v>8968.9</v>
      </c>
      <c r="Q263" s="332">
        <f>SUM(Q264:Q273)</f>
        <v>8993.9</v>
      </c>
      <c r="R263" s="332">
        <f>SUM(R264:R273)</f>
        <v>8993.9</v>
      </c>
    </row>
    <row r="264" spans="1:18" s="166" customFormat="1" ht="21" customHeight="1">
      <c r="A264" s="501"/>
      <c r="B264" s="511"/>
      <c r="C264" s="493"/>
      <c r="D264" s="493"/>
      <c r="E264" s="524"/>
      <c r="F264" s="493"/>
      <c r="G264" s="493"/>
      <c r="H264" s="493"/>
      <c r="I264" s="493"/>
      <c r="J264" s="493"/>
      <c r="K264" s="493"/>
      <c r="L264" s="321" t="s">
        <v>32</v>
      </c>
      <c r="M264" s="321" t="s">
        <v>41</v>
      </c>
      <c r="N264" s="333">
        <v>0</v>
      </c>
      <c r="O264" s="333">
        <v>0</v>
      </c>
      <c r="P264" s="333">
        <v>40</v>
      </c>
      <c r="Q264" s="333">
        <v>40</v>
      </c>
      <c r="R264" s="333">
        <v>40</v>
      </c>
    </row>
    <row r="265" spans="1:18" s="166" customFormat="1" ht="21" customHeight="1">
      <c r="A265" s="501"/>
      <c r="B265" s="511"/>
      <c r="C265" s="493"/>
      <c r="D265" s="493"/>
      <c r="E265" s="524"/>
      <c r="F265" s="493"/>
      <c r="G265" s="493"/>
      <c r="H265" s="493"/>
      <c r="I265" s="493"/>
      <c r="J265" s="493"/>
      <c r="K265" s="493"/>
      <c r="L265" s="321" t="s">
        <v>32</v>
      </c>
      <c r="M265" s="321" t="s">
        <v>37</v>
      </c>
      <c r="N265" s="333">
        <v>722.435</v>
      </c>
      <c r="O265" s="333">
        <v>722.435</v>
      </c>
      <c r="P265" s="333">
        <v>980</v>
      </c>
      <c r="Q265" s="333">
        <v>1005</v>
      </c>
      <c r="R265" s="333">
        <v>1005</v>
      </c>
    </row>
    <row r="266" spans="1:18" s="166" customFormat="1" ht="21" customHeight="1">
      <c r="A266" s="501"/>
      <c r="B266" s="511"/>
      <c r="C266" s="493"/>
      <c r="D266" s="493"/>
      <c r="E266" s="524"/>
      <c r="F266" s="493"/>
      <c r="G266" s="493"/>
      <c r="H266" s="493"/>
      <c r="I266" s="493"/>
      <c r="J266" s="493"/>
      <c r="K266" s="493"/>
      <c r="L266" s="321" t="s">
        <v>32</v>
      </c>
      <c r="M266" s="321" t="s">
        <v>33</v>
      </c>
      <c r="N266" s="333">
        <v>140.495</v>
      </c>
      <c r="O266" s="333">
        <v>140.297</v>
      </c>
      <c r="P266" s="333">
        <v>464.6</v>
      </c>
      <c r="Q266" s="333">
        <v>464.6</v>
      </c>
      <c r="R266" s="333">
        <v>464.6</v>
      </c>
    </row>
    <row r="267" spans="1:18" s="166" customFormat="1" ht="21" customHeight="1">
      <c r="A267" s="501"/>
      <c r="B267" s="511"/>
      <c r="C267" s="493"/>
      <c r="D267" s="493"/>
      <c r="E267" s="524"/>
      <c r="F267" s="493"/>
      <c r="G267" s="493"/>
      <c r="H267" s="493"/>
      <c r="I267" s="493"/>
      <c r="J267" s="493"/>
      <c r="K267" s="493"/>
      <c r="L267" s="321" t="s">
        <v>32</v>
      </c>
      <c r="M267" s="321" t="s">
        <v>26</v>
      </c>
      <c r="N267" s="333">
        <v>77.176</v>
      </c>
      <c r="O267" s="333">
        <v>77.176</v>
      </c>
      <c r="P267" s="333">
        <f>160+253</f>
        <v>413</v>
      </c>
      <c r="Q267" s="333">
        <v>413</v>
      </c>
      <c r="R267" s="333">
        <v>413</v>
      </c>
    </row>
    <row r="268" spans="1:18" s="166" customFormat="1" ht="21" customHeight="1">
      <c r="A268" s="501"/>
      <c r="B268" s="511"/>
      <c r="C268" s="493"/>
      <c r="D268" s="493"/>
      <c r="E268" s="524"/>
      <c r="F268" s="493"/>
      <c r="G268" s="493"/>
      <c r="H268" s="493"/>
      <c r="I268" s="493"/>
      <c r="J268" s="493"/>
      <c r="K268" s="493"/>
      <c r="L268" s="321" t="s">
        <v>43</v>
      </c>
      <c r="M268" s="321" t="s">
        <v>32</v>
      </c>
      <c r="N268" s="333">
        <v>1298.332</v>
      </c>
      <c r="O268" s="333">
        <v>1192.974</v>
      </c>
      <c r="P268" s="333">
        <v>1381.8</v>
      </c>
      <c r="Q268" s="333">
        <v>1381.8</v>
      </c>
      <c r="R268" s="333">
        <v>1381.8</v>
      </c>
    </row>
    <row r="269" spans="1:18" s="166" customFormat="1" ht="21" customHeight="1">
      <c r="A269" s="501"/>
      <c r="B269" s="511"/>
      <c r="C269" s="493"/>
      <c r="D269" s="493"/>
      <c r="E269" s="524"/>
      <c r="F269" s="493"/>
      <c r="G269" s="493"/>
      <c r="H269" s="493"/>
      <c r="I269" s="493"/>
      <c r="J269" s="493"/>
      <c r="K269" s="493"/>
      <c r="L269" s="321" t="s">
        <v>43</v>
      </c>
      <c r="M269" s="321" t="s">
        <v>36</v>
      </c>
      <c r="N269" s="333">
        <v>3583.986</v>
      </c>
      <c r="O269" s="333">
        <v>3481.799</v>
      </c>
      <c r="P269" s="333">
        <v>3716</v>
      </c>
      <c r="Q269" s="333">
        <v>3716</v>
      </c>
      <c r="R269" s="333">
        <v>3716</v>
      </c>
    </row>
    <row r="270" spans="1:18" s="166" customFormat="1" ht="21" customHeight="1">
      <c r="A270" s="501"/>
      <c r="B270" s="511"/>
      <c r="C270" s="493"/>
      <c r="D270" s="493"/>
      <c r="E270" s="524"/>
      <c r="F270" s="493"/>
      <c r="G270" s="493"/>
      <c r="H270" s="493"/>
      <c r="I270" s="493"/>
      <c r="J270" s="493"/>
      <c r="K270" s="493"/>
      <c r="L270" s="321" t="s">
        <v>43</v>
      </c>
      <c r="M270" s="321" t="s">
        <v>41</v>
      </c>
      <c r="N270" s="333">
        <v>718.697</v>
      </c>
      <c r="O270" s="333">
        <v>718.122</v>
      </c>
      <c r="P270" s="333">
        <v>713.5</v>
      </c>
      <c r="Q270" s="333">
        <v>713.5</v>
      </c>
      <c r="R270" s="333">
        <v>713.5</v>
      </c>
    </row>
    <row r="271" spans="1:18" s="166" customFormat="1" ht="32.25" customHeight="1">
      <c r="A271" s="501"/>
      <c r="B271" s="511"/>
      <c r="C271" s="493"/>
      <c r="D271" s="493"/>
      <c r="E271" s="524"/>
      <c r="F271" s="493"/>
      <c r="G271" s="493"/>
      <c r="H271" s="493"/>
      <c r="I271" s="493" t="s">
        <v>1120</v>
      </c>
      <c r="J271" s="493" t="s">
        <v>70</v>
      </c>
      <c r="K271" s="493" t="s">
        <v>120</v>
      </c>
      <c r="L271" s="321" t="s">
        <v>43</v>
      </c>
      <c r="M271" s="321" t="s">
        <v>38</v>
      </c>
      <c r="N271" s="333">
        <v>137.472</v>
      </c>
      <c r="O271" s="333">
        <v>137.472</v>
      </c>
      <c r="P271" s="333">
        <v>250</v>
      </c>
      <c r="Q271" s="333">
        <v>250</v>
      </c>
      <c r="R271" s="333">
        <v>250</v>
      </c>
    </row>
    <row r="272" spans="1:18" s="166" customFormat="1" ht="32.25" customHeight="1">
      <c r="A272" s="501"/>
      <c r="B272" s="511"/>
      <c r="C272" s="493"/>
      <c r="D272" s="493"/>
      <c r="E272" s="524"/>
      <c r="F272" s="493"/>
      <c r="G272" s="493"/>
      <c r="H272" s="493"/>
      <c r="I272" s="493"/>
      <c r="J272" s="493"/>
      <c r="K272" s="493"/>
      <c r="L272" s="321" t="s">
        <v>40</v>
      </c>
      <c r="M272" s="321" t="s">
        <v>32</v>
      </c>
      <c r="N272" s="333">
        <v>712.856</v>
      </c>
      <c r="O272" s="333">
        <v>712.856</v>
      </c>
      <c r="P272" s="333">
        <v>600</v>
      </c>
      <c r="Q272" s="333">
        <v>600</v>
      </c>
      <c r="R272" s="333">
        <v>600</v>
      </c>
    </row>
    <row r="273" spans="1:18" s="166" customFormat="1" ht="32.25" customHeight="1">
      <c r="A273" s="495"/>
      <c r="B273" s="512"/>
      <c r="C273" s="498"/>
      <c r="D273" s="498"/>
      <c r="E273" s="525"/>
      <c r="F273" s="498"/>
      <c r="G273" s="498"/>
      <c r="H273" s="498"/>
      <c r="I273" s="498"/>
      <c r="J273" s="498"/>
      <c r="K273" s="498"/>
      <c r="L273" s="321" t="s">
        <v>40</v>
      </c>
      <c r="M273" s="321" t="s">
        <v>37</v>
      </c>
      <c r="N273" s="333">
        <v>99.887</v>
      </c>
      <c r="O273" s="333">
        <v>99.887</v>
      </c>
      <c r="P273" s="333">
        <v>410</v>
      </c>
      <c r="Q273" s="333">
        <v>410</v>
      </c>
      <c r="R273" s="333">
        <v>410</v>
      </c>
    </row>
    <row r="274" spans="1:18" s="167" customFormat="1" ht="60">
      <c r="A274" s="90" t="s">
        <v>829</v>
      </c>
      <c r="B274" s="91">
        <v>1222</v>
      </c>
      <c r="C274" s="42" t="s">
        <v>57</v>
      </c>
      <c r="D274" s="27" t="s">
        <v>387</v>
      </c>
      <c r="E274" s="28" t="s">
        <v>159</v>
      </c>
      <c r="F274" s="90" t="s">
        <v>31</v>
      </c>
      <c r="G274" s="90" t="s">
        <v>31</v>
      </c>
      <c r="H274" s="90" t="s">
        <v>31</v>
      </c>
      <c r="I274" s="1" t="s">
        <v>444</v>
      </c>
      <c r="J274" s="1" t="s">
        <v>70</v>
      </c>
      <c r="K274" s="1" t="s">
        <v>196</v>
      </c>
      <c r="L274" s="91" t="s">
        <v>32</v>
      </c>
      <c r="M274" s="208" t="s">
        <v>24</v>
      </c>
      <c r="N274" s="123">
        <v>104.76</v>
      </c>
      <c r="O274" s="123">
        <v>0</v>
      </c>
      <c r="P274" s="123">
        <v>2000</v>
      </c>
      <c r="Q274" s="123">
        <v>2000</v>
      </c>
      <c r="R274" s="123">
        <v>2000</v>
      </c>
    </row>
    <row r="275" spans="1:18" s="167" customFormat="1" ht="72">
      <c r="A275" s="90"/>
      <c r="B275" s="106"/>
      <c r="C275" s="24"/>
      <c r="D275" s="24"/>
      <c r="E275" s="52"/>
      <c r="F275" s="142"/>
      <c r="G275" s="142"/>
      <c r="H275" s="142"/>
      <c r="I275" s="164" t="s">
        <v>701</v>
      </c>
      <c r="J275" s="164" t="s">
        <v>70</v>
      </c>
      <c r="K275" s="193" t="s">
        <v>196</v>
      </c>
      <c r="L275" s="106"/>
      <c r="M275" s="106"/>
      <c r="N275" s="143"/>
      <c r="O275" s="143"/>
      <c r="P275" s="143"/>
      <c r="Q275" s="143"/>
      <c r="R275" s="143"/>
    </row>
    <row r="276" spans="1:18" s="167" customFormat="1" ht="108">
      <c r="A276" s="66" t="s">
        <v>4</v>
      </c>
      <c r="B276" s="67">
        <v>1300</v>
      </c>
      <c r="C276" s="67" t="s">
        <v>29</v>
      </c>
      <c r="D276" s="67" t="s">
        <v>29</v>
      </c>
      <c r="E276" s="67" t="s">
        <v>29</v>
      </c>
      <c r="F276" s="67" t="s">
        <v>29</v>
      </c>
      <c r="G276" s="67" t="s">
        <v>29</v>
      </c>
      <c r="H276" s="67" t="s">
        <v>29</v>
      </c>
      <c r="I276" s="67" t="s">
        <v>29</v>
      </c>
      <c r="J276" s="67" t="s">
        <v>29</v>
      </c>
      <c r="K276" s="67" t="s">
        <v>29</v>
      </c>
      <c r="L276" s="67"/>
      <c r="M276" s="67"/>
      <c r="N276" s="68">
        <f>N277+N283+N300</f>
        <v>7763.552000000001</v>
      </c>
      <c r="O276" s="68">
        <f>O277+O283+O300</f>
        <v>7753.433000000001</v>
      </c>
      <c r="P276" s="68">
        <f>P277+P283+P300</f>
        <v>7155.536609999999</v>
      </c>
      <c r="Q276" s="68">
        <f>Q277+Q283+Q300</f>
        <v>6435.4</v>
      </c>
      <c r="R276" s="68">
        <f>R277+R283+R300</f>
        <v>6435.4</v>
      </c>
    </row>
    <row r="277" spans="1:18" s="167" customFormat="1" ht="60">
      <c r="A277" s="66" t="s">
        <v>637</v>
      </c>
      <c r="B277" s="67">
        <v>1301</v>
      </c>
      <c r="C277" s="67" t="s">
        <v>29</v>
      </c>
      <c r="D277" s="67" t="s">
        <v>29</v>
      </c>
      <c r="E277" s="67" t="s">
        <v>29</v>
      </c>
      <c r="F277" s="67" t="s">
        <v>29</v>
      </c>
      <c r="G277" s="67" t="s">
        <v>29</v>
      </c>
      <c r="H277" s="67" t="s">
        <v>29</v>
      </c>
      <c r="I277" s="67" t="s">
        <v>29</v>
      </c>
      <c r="J277" s="67" t="s">
        <v>29</v>
      </c>
      <c r="K277" s="67" t="s">
        <v>29</v>
      </c>
      <c r="L277" s="67"/>
      <c r="M277" s="67"/>
      <c r="N277" s="68">
        <f>N278</f>
        <v>643.5</v>
      </c>
      <c r="O277" s="68">
        <f>O278</f>
        <v>642.381</v>
      </c>
      <c r="P277" s="68">
        <f>P278</f>
        <v>295</v>
      </c>
      <c r="Q277" s="68">
        <f>Q278</f>
        <v>295</v>
      </c>
      <c r="R277" s="68">
        <f>R278</f>
        <v>295</v>
      </c>
    </row>
    <row r="278" spans="1:18" s="167" customFormat="1" ht="23.25" customHeight="1">
      <c r="A278" s="69" t="s">
        <v>49</v>
      </c>
      <c r="B278" s="70">
        <v>1307</v>
      </c>
      <c r="C278" s="69" t="s">
        <v>31</v>
      </c>
      <c r="D278" s="69" t="s">
        <v>31</v>
      </c>
      <c r="E278" s="69" t="s">
        <v>31</v>
      </c>
      <c r="F278" s="69" t="s">
        <v>31</v>
      </c>
      <c r="G278" s="69" t="s">
        <v>31</v>
      </c>
      <c r="H278" s="69" t="s">
        <v>31</v>
      </c>
      <c r="I278" s="69" t="s">
        <v>31</v>
      </c>
      <c r="J278" s="69" t="s">
        <v>31</v>
      </c>
      <c r="K278" s="69" t="s">
        <v>31</v>
      </c>
      <c r="L278" s="70" t="s">
        <v>37</v>
      </c>
      <c r="M278" s="70" t="s">
        <v>25</v>
      </c>
      <c r="N278" s="332">
        <f>SUM(N279:N282)</f>
        <v>643.5</v>
      </c>
      <c r="O278" s="332">
        <f>SUM(O279:O282)</f>
        <v>642.381</v>
      </c>
      <c r="P278" s="332">
        <f>SUM(P279:P282)</f>
        <v>295</v>
      </c>
      <c r="Q278" s="332">
        <f>SUM(Q279:Q282)</f>
        <v>295</v>
      </c>
      <c r="R278" s="332">
        <f>SUM(R279:R282)</f>
        <v>295</v>
      </c>
    </row>
    <row r="279" spans="1:18" s="166" customFormat="1" ht="60">
      <c r="A279" s="75"/>
      <c r="B279" s="95"/>
      <c r="C279" s="14" t="s">
        <v>57</v>
      </c>
      <c r="D279" s="14" t="s">
        <v>390</v>
      </c>
      <c r="E279" s="181" t="s">
        <v>159</v>
      </c>
      <c r="F279" s="75"/>
      <c r="G279" s="75"/>
      <c r="H279" s="75"/>
      <c r="I279" s="15" t="s">
        <v>742</v>
      </c>
      <c r="J279" s="15" t="s">
        <v>70</v>
      </c>
      <c r="K279" s="15" t="s">
        <v>433</v>
      </c>
      <c r="L279" s="85"/>
      <c r="M279" s="85"/>
      <c r="N279" s="171">
        <f>205.914+95.986</f>
        <v>301.9</v>
      </c>
      <c r="O279" s="171">
        <f>205.914+95.986</f>
        <v>301.9</v>
      </c>
      <c r="P279" s="171">
        <v>295</v>
      </c>
      <c r="Q279" s="171">
        <v>295</v>
      </c>
      <c r="R279" s="171">
        <v>295</v>
      </c>
    </row>
    <row r="280" spans="1:18" s="166" customFormat="1" ht="60">
      <c r="A280" s="75"/>
      <c r="B280" s="95"/>
      <c r="C280" s="14"/>
      <c r="D280" s="14"/>
      <c r="E280" s="181"/>
      <c r="F280" s="75"/>
      <c r="G280" s="75"/>
      <c r="H280" s="75"/>
      <c r="I280" s="15" t="s">
        <v>560</v>
      </c>
      <c r="J280" s="15" t="s">
        <v>70</v>
      </c>
      <c r="K280" s="15" t="s">
        <v>506</v>
      </c>
      <c r="L280" s="85"/>
      <c r="M280" s="85"/>
      <c r="N280" s="171"/>
      <c r="O280" s="171"/>
      <c r="P280" s="171"/>
      <c r="Q280" s="171"/>
      <c r="R280" s="198"/>
    </row>
    <row r="281" spans="1:18" s="166" customFormat="1" ht="48">
      <c r="A281" s="75"/>
      <c r="B281" s="95"/>
      <c r="C281" s="14"/>
      <c r="D281" s="14"/>
      <c r="E281" s="181"/>
      <c r="F281" s="75"/>
      <c r="G281" s="75"/>
      <c r="H281" s="75"/>
      <c r="I281" s="15" t="s">
        <v>94</v>
      </c>
      <c r="J281" s="15" t="s">
        <v>70</v>
      </c>
      <c r="K281" s="15" t="s">
        <v>73</v>
      </c>
      <c r="L281" s="85"/>
      <c r="M281" s="85"/>
      <c r="N281" s="171"/>
      <c r="O281" s="171"/>
      <c r="P281" s="171"/>
      <c r="Q281" s="171"/>
      <c r="R281" s="198"/>
    </row>
    <row r="282" spans="1:18" s="166" customFormat="1" ht="96">
      <c r="A282" s="75"/>
      <c r="B282" s="95" t="s">
        <v>440</v>
      </c>
      <c r="C282" s="75"/>
      <c r="D282" s="75"/>
      <c r="E282" s="75"/>
      <c r="F282" s="75"/>
      <c r="G282" s="75"/>
      <c r="H282" s="75"/>
      <c r="I282" s="15" t="s">
        <v>1075</v>
      </c>
      <c r="J282" s="15" t="s">
        <v>70</v>
      </c>
      <c r="K282" s="15" t="s">
        <v>1076</v>
      </c>
      <c r="L282" s="85"/>
      <c r="M282" s="85"/>
      <c r="N282" s="171">
        <v>341.6</v>
      </c>
      <c r="O282" s="171">
        <v>340.481</v>
      </c>
      <c r="P282" s="171">
        <v>0</v>
      </c>
      <c r="Q282" s="171">
        <v>0</v>
      </c>
      <c r="R282" s="171">
        <v>0</v>
      </c>
    </row>
    <row r="283" spans="1:18" s="167" customFormat="1" ht="84">
      <c r="A283" s="66" t="s">
        <v>830</v>
      </c>
      <c r="B283" s="67">
        <v>1500</v>
      </c>
      <c r="C283" s="67" t="s">
        <v>29</v>
      </c>
      <c r="D283" s="67" t="s">
        <v>29</v>
      </c>
      <c r="E283" s="67" t="s">
        <v>29</v>
      </c>
      <c r="F283" s="67" t="s">
        <v>29</v>
      </c>
      <c r="G283" s="67" t="s">
        <v>29</v>
      </c>
      <c r="H283" s="67" t="s">
        <v>29</v>
      </c>
      <c r="I283" s="67" t="s">
        <v>29</v>
      </c>
      <c r="J283" s="67" t="s">
        <v>29</v>
      </c>
      <c r="K283" s="67" t="s">
        <v>29</v>
      </c>
      <c r="L283" s="67"/>
      <c r="M283" s="67"/>
      <c r="N283" s="68">
        <f>N284</f>
        <v>4880.043000000001</v>
      </c>
      <c r="O283" s="68">
        <f>O284</f>
        <v>4880.043000000001</v>
      </c>
      <c r="P283" s="68">
        <f>P284</f>
        <v>4924.036609999999</v>
      </c>
      <c r="Q283" s="68">
        <f>Q284</f>
        <v>4475.7</v>
      </c>
      <c r="R283" s="68">
        <f>R284</f>
        <v>4475.7</v>
      </c>
    </row>
    <row r="284" spans="1:18" s="167" customFormat="1" ht="36">
      <c r="A284" s="66" t="s">
        <v>831</v>
      </c>
      <c r="B284" s="67">
        <v>1503</v>
      </c>
      <c r="C284" s="66" t="s">
        <v>31</v>
      </c>
      <c r="D284" s="66" t="s">
        <v>31</v>
      </c>
      <c r="E284" s="66" t="s">
        <v>31</v>
      </c>
      <c r="F284" s="66" t="s">
        <v>31</v>
      </c>
      <c r="G284" s="66" t="s">
        <v>31</v>
      </c>
      <c r="H284" s="66" t="s">
        <v>31</v>
      </c>
      <c r="I284" s="66" t="s">
        <v>31</v>
      </c>
      <c r="J284" s="66" t="s">
        <v>31</v>
      </c>
      <c r="K284" s="66" t="s">
        <v>31</v>
      </c>
      <c r="L284" s="67"/>
      <c r="M284" s="67"/>
      <c r="N284" s="68">
        <f>SUM(N286:N299)</f>
        <v>4880.043000000001</v>
      </c>
      <c r="O284" s="68">
        <f>SUM(O286:O299)</f>
        <v>4880.043000000001</v>
      </c>
      <c r="P284" s="68">
        <f>SUM(P286:P299)</f>
        <v>4924.036609999999</v>
      </c>
      <c r="Q284" s="68">
        <f>SUM(Q286:Q299)</f>
        <v>4475.7</v>
      </c>
      <c r="R284" s="68">
        <f>SUM(R286:R299)</f>
        <v>4475.7</v>
      </c>
    </row>
    <row r="285" spans="1:18" s="167" customFormat="1" ht="12">
      <c r="A285" s="66" t="s">
        <v>100</v>
      </c>
      <c r="B285" s="67"/>
      <c r="C285" s="66"/>
      <c r="D285" s="66"/>
      <c r="E285" s="66"/>
      <c r="F285" s="66"/>
      <c r="G285" s="66"/>
      <c r="H285" s="66"/>
      <c r="I285" s="66"/>
      <c r="J285" s="66"/>
      <c r="K285" s="66"/>
      <c r="L285" s="67"/>
      <c r="M285" s="67"/>
      <c r="N285" s="68"/>
      <c r="O285" s="68"/>
      <c r="P285" s="68"/>
      <c r="Q285" s="68"/>
      <c r="R285" s="235"/>
    </row>
    <row r="286" spans="1:18" s="167" customFormat="1" ht="204" customHeight="1">
      <c r="A286" s="84"/>
      <c r="B286" s="122"/>
      <c r="C286" s="43" t="s">
        <v>57</v>
      </c>
      <c r="D286" s="43" t="s">
        <v>388</v>
      </c>
      <c r="E286" s="51" t="s">
        <v>159</v>
      </c>
      <c r="F286" s="497" t="s">
        <v>198</v>
      </c>
      <c r="G286" s="43" t="s">
        <v>199</v>
      </c>
      <c r="H286" s="51" t="s">
        <v>123</v>
      </c>
      <c r="I286" s="427" t="s">
        <v>1218</v>
      </c>
      <c r="J286" s="194" t="s">
        <v>70</v>
      </c>
      <c r="K286" s="194" t="s">
        <v>1219</v>
      </c>
      <c r="L286" s="122" t="s">
        <v>23</v>
      </c>
      <c r="M286" s="122" t="s">
        <v>41</v>
      </c>
      <c r="N286" s="35">
        <v>1000</v>
      </c>
      <c r="O286" s="35">
        <v>1000</v>
      </c>
      <c r="P286" s="35">
        <v>1000</v>
      </c>
      <c r="Q286" s="35">
        <v>1000</v>
      </c>
      <c r="R286" s="236">
        <v>1000</v>
      </c>
    </row>
    <row r="287" spans="1:18" s="167" customFormat="1" ht="205.5" customHeight="1">
      <c r="A287" s="75"/>
      <c r="B287" s="95" t="s">
        <v>197</v>
      </c>
      <c r="C287" s="127"/>
      <c r="D287" s="127"/>
      <c r="E287" s="127"/>
      <c r="F287" s="493"/>
      <c r="G287" s="127"/>
      <c r="H287" s="127"/>
      <c r="I287" s="420" t="s">
        <v>697</v>
      </c>
      <c r="J287" s="12" t="s">
        <v>70</v>
      </c>
      <c r="K287" s="12" t="s">
        <v>507</v>
      </c>
      <c r="L287" s="122" t="s">
        <v>23</v>
      </c>
      <c r="M287" s="122" t="s">
        <v>41</v>
      </c>
      <c r="N287" s="86">
        <v>1000</v>
      </c>
      <c r="O287" s="86">
        <v>1000</v>
      </c>
      <c r="P287" s="86">
        <v>1000</v>
      </c>
      <c r="Q287" s="86">
        <v>1500</v>
      </c>
      <c r="R287" s="237">
        <v>1500</v>
      </c>
    </row>
    <row r="288" spans="1:18" s="167" customFormat="1" ht="82.5" customHeight="1">
      <c r="A288" s="75"/>
      <c r="B288" s="95"/>
      <c r="C288" s="493" t="s">
        <v>594</v>
      </c>
      <c r="D288" s="493" t="s">
        <v>1173</v>
      </c>
      <c r="E288" s="493" t="s">
        <v>595</v>
      </c>
      <c r="F288" s="493" t="s">
        <v>596</v>
      </c>
      <c r="G288" s="493" t="s">
        <v>597</v>
      </c>
      <c r="H288" s="493" t="s">
        <v>131</v>
      </c>
      <c r="I288" s="14" t="s">
        <v>617</v>
      </c>
      <c r="J288" s="14" t="s">
        <v>70</v>
      </c>
      <c r="K288" s="14" t="s">
        <v>446</v>
      </c>
      <c r="L288" s="122" t="s">
        <v>23</v>
      </c>
      <c r="M288" s="122" t="s">
        <v>41</v>
      </c>
      <c r="N288" s="86">
        <v>0</v>
      </c>
      <c r="O288" s="86"/>
      <c r="P288" s="86"/>
      <c r="Q288" s="86"/>
      <c r="R288" s="237"/>
    </row>
    <row r="289" spans="1:18" s="167" customFormat="1" ht="48.75" customHeight="1">
      <c r="A289" s="75"/>
      <c r="B289" s="95"/>
      <c r="C289" s="493"/>
      <c r="D289" s="493"/>
      <c r="E289" s="493"/>
      <c r="F289" s="493"/>
      <c r="G289" s="493"/>
      <c r="H289" s="493"/>
      <c r="I289" s="14" t="s">
        <v>94</v>
      </c>
      <c r="J289" s="14" t="s">
        <v>70</v>
      </c>
      <c r="K289" s="14" t="s">
        <v>73</v>
      </c>
      <c r="L289" s="122" t="s">
        <v>23</v>
      </c>
      <c r="M289" s="122" t="s">
        <v>41</v>
      </c>
      <c r="N289" s="86">
        <v>0</v>
      </c>
      <c r="O289" s="86"/>
      <c r="P289" s="86"/>
      <c r="Q289" s="86"/>
      <c r="R289" s="237"/>
    </row>
    <row r="290" spans="1:18" s="167" customFormat="1" ht="145.5" customHeight="1">
      <c r="A290" s="75"/>
      <c r="B290" s="95" t="s">
        <v>442</v>
      </c>
      <c r="C290" s="493"/>
      <c r="D290" s="493"/>
      <c r="E290" s="493"/>
      <c r="F290" s="493" t="s">
        <v>1174</v>
      </c>
      <c r="G290" s="250" t="s">
        <v>70</v>
      </c>
      <c r="H290" s="428" t="s">
        <v>1175</v>
      </c>
      <c r="I290" s="14" t="s">
        <v>1176</v>
      </c>
      <c r="J290" s="14" t="s">
        <v>70</v>
      </c>
      <c r="K290" s="14" t="s">
        <v>443</v>
      </c>
      <c r="L290" s="122" t="s">
        <v>23</v>
      </c>
      <c r="M290" s="122" t="s">
        <v>41</v>
      </c>
      <c r="N290" s="86">
        <v>440.404</v>
      </c>
      <c r="O290" s="86">
        <v>440.404</v>
      </c>
      <c r="P290" s="86">
        <v>440.40393</v>
      </c>
      <c r="Q290" s="86">
        <v>0</v>
      </c>
      <c r="R290" s="86">
        <v>0</v>
      </c>
    </row>
    <row r="291" spans="1:18" s="167" customFormat="1" ht="48">
      <c r="A291" s="75"/>
      <c r="B291" s="95" t="s">
        <v>441</v>
      </c>
      <c r="C291" s="493"/>
      <c r="D291" s="493"/>
      <c r="E291" s="493"/>
      <c r="F291" s="493"/>
      <c r="G291" s="250"/>
      <c r="H291" s="250"/>
      <c r="I291" s="14" t="s">
        <v>1319</v>
      </c>
      <c r="J291" s="14"/>
      <c r="K291" s="14"/>
      <c r="L291" s="95" t="s">
        <v>23</v>
      </c>
      <c r="M291" s="95" t="s">
        <v>41</v>
      </c>
      <c r="N291" s="86">
        <v>164.711</v>
      </c>
      <c r="O291" s="86">
        <v>164.711</v>
      </c>
      <c r="P291" s="86">
        <v>245.55628</v>
      </c>
      <c r="Q291" s="86">
        <v>0</v>
      </c>
      <c r="R291" s="86">
        <v>0</v>
      </c>
    </row>
    <row r="292" spans="1:18" s="167" customFormat="1" ht="96.75" customHeight="1">
      <c r="A292" s="75"/>
      <c r="B292" s="95"/>
      <c r="C292" s="493"/>
      <c r="D292" s="493"/>
      <c r="E292" s="493"/>
      <c r="F292" s="493"/>
      <c r="G292" s="250"/>
      <c r="H292" s="250"/>
      <c r="I292" s="14" t="s">
        <v>137</v>
      </c>
      <c r="J292" s="14" t="s">
        <v>448</v>
      </c>
      <c r="K292" s="14" t="s">
        <v>449</v>
      </c>
      <c r="L292" s="122" t="s">
        <v>23</v>
      </c>
      <c r="M292" s="122" t="s">
        <v>41</v>
      </c>
      <c r="N292" s="86">
        <f>5+76.5+465.885</f>
        <v>547.385</v>
      </c>
      <c r="O292" s="86">
        <f>5+76.5+465.885</f>
        <v>547.385</v>
      </c>
      <c r="P292" s="86">
        <f>308.46021+385.03979</f>
        <v>693.5</v>
      </c>
      <c r="Q292" s="86">
        <v>693.5</v>
      </c>
      <c r="R292" s="86">
        <v>693.5</v>
      </c>
    </row>
    <row r="293" spans="1:18" s="167" customFormat="1" ht="72">
      <c r="A293" s="75"/>
      <c r="B293" s="95"/>
      <c r="C293" s="127"/>
      <c r="D293" s="127"/>
      <c r="E293" s="127"/>
      <c r="F293" s="127"/>
      <c r="G293" s="127"/>
      <c r="H293" s="127"/>
      <c r="I293" s="420" t="s">
        <v>200</v>
      </c>
      <c r="J293" s="12" t="s">
        <v>70</v>
      </c>
      <c r="K293" s="12" t="s">
        <v>109</v>
      </c>
      <c r="L293" s="122" t="s">
        <v>23</v>
      </c>
      <c r="M293" s="122" t="s">
        <v>41</v>
      </c>
      <c r="N293" s="86">
        <v>1367.921</v>
      </c>
      <c r="O293" s="86">
        <v>1367.921</v>
      </c>
      <c r="P293" s="86">
        <v>1079.4</v>
      </c>
      <c r="Q293" s="86">
        <v>1079.4</v>
      </c>
      <c r="R293" s="86">
        <v>1079.4</v>
      </c>
    </row>
    <row r="294" spans="1:18" s="167" customFormat="1" ht="72">
      <c r="A294" s="75"/>
      <c r="B294" s="95"/>
      <c r="C294" s="127"/>
      <c r="D294" s="127"/>
      <c r="E294" s="127"/>
      <c r="F294" s="127"/>
      <c r="G294" s="127"/>
      <c r="H294" s="127"/>
      <c r="I294" s="420" t="s">
        <v>515</v>
      </c>
      <c r="J294" s="12" t="s">
        <v>70</v>
      </c>
      <c r="K294" s="12" t="s">
        <v>395</v>
      </c>
      <c r="L294" s="85"/>
      <c r="M294" s="85"/>
      <c r="N294" s="86"/>
      <c r="O294" s="86"/>
      <c r="P294" s="86"/>
      <c r="Q294" s="86"/>
      <c r="R294" s="237"/>
    </row>
    <row r="295" spans="1:18" s="167" customFormat="1" ht="60" customHeight="1">
      <c r="A295" s="75"/>
      <c r="B295" s="95"/>
      <c r="C295" s="14" t="s">
        <v>57</v>
      </c>
      <c r="D295" s="14" t="s">
        <v>1080</v>
      </c>
      <c r="E295" s="181" t="s">
        <v>159</v>
      </c>
      <c r="F295" s="127"/>
      <c r="G295" s="127"/>
      <c r="H295" s="127"/>
      <c r="I295" s="420" t="s">
        <v>1079</v>
      </c>
      <c r="J295" s="12" t="s">
        <v>1072</v>
      </c>
      <c r="K295" s="12" t="s">
        <v>61</v>
      </c>
      <c r="L295" s="95" t="s">
        <v>23</v>
      </c>
      <c r="M295" s="95" t="s">
        <v>33</v>
      </c>
      <c r="N295" s="86">
        <v>0</v>
      </c>
      <c r="O295" s="86">
        <v>0</v>
      </c>
      <c r="P295" s="86">
        <v>2.8</v>
      </c>
      <c r="Q295" s="86">
        <v>2.8</v>
      </c>
      <c r="R295" s="86">
        <v>2.8</v>
      </c>
    </row>
    <row r="296" spans="1:18" s="166" customFormat="1" ht="72" customHeight="1">
      <c r="A296" s="75"/>
      <c r="B296" s="85"/>
      <c r="C296" s="547" t="s">
        <v>1077</v>
      </c>
      <c r="D296" s="508" t="s">
        <v>1078</v>
      </c>
      <c r="E296" s="504" t="s">
        <v>128</v>
      </c>
      <c r="F296" s="493" t="s">
        <v>129</v>
      </c>
      <c r="G296" s="493" t="s">
        <v>130</v>
      </c>
      <c r="H296" s="524" t="s">
        <v>131</v>
      </c>
      <c r="I296" s="429" t="s">
        <v>132</v>
      </c>
      <c r="J296" s="23" t="s">
        <v>70</v>
      </c>
      <c r="K296" s="406" t="s">
        <v>133</v>
      </c>
      <c r="L296" s="130" t="s">
        <v>23</v>
      </c>
      <c r="M296" s="206" t="s">
        <v>41</v>
      </c>
      <c r="N296" s="233">
        <f>184.003+3.516</f>
        <v>187.51899999999998</v>
      </c>
      <c r="O296" s="233">
        <f>184.003+3.516</f>
        <v>187.51899999999998</v>
      </c>
      <c r="P296" s="233">
        <v>200</v>
      </c>
      <c r="Q296" s="233">
        <v>200</v>
      </c>
      <c r="R296" s="233">
        <v>200</v>
      </c>
    </row>
    <row r="297" spans="1:18" s="166" customFormat="1" ht="23.25" customHeight="1">
      <c r="A297" s="75"/>
      <c r="B297" s="85">
        <v>600</v>
      </c>
      <c r="C297" s="547"/>
      <c r="D297" s="509"/>
      <c r="E297" s="504"/>
      <c r="F297" s="493"/>
      <c r="G297" s="493"/>
      <c r="H297" s="524"/>
      <c r="I297" s="529" t="s">
        <v>692</v>
      </c>
      <c r="J297" s="490" t="s">
        <v>70</v>
      </c>
      <c r="K297" s="490" t="s">
        <v>693</v>
      </c>
      <c r="L297" s="131"/>
      <c r="M297" s="136"/>
      <c r="N297" s="234">
        <v>105.3</v>
      </c>
      <c r="O297" s="234">
        <v>105.3</v>
      </c>
      <c r="P297" s="234">
        <v>0</v>
      </c>
      <c r="Q297" s="234">
        <v>0</v>
      </c>
      <c r="R297" s="234">
        <v>0</v>
      </c>
    </row>
    <row r="298" spans="1:18" s="166" customFormat="1" ht="21.75" customHeight="1">
      <c r="A298" s="75"/>
      <c r="B298" s="85">
        <v>601</v>
      </c>
      <c r="C298" s="547"/>
      <c r="D298" s="509"/>
      <c r="E298" s="504"/>
      <c r="F298" s="493"/>
      <c r="G298" s="493"/>
      <c r="H298" s="524"/>
      <c r="I298" s="529"/>
      <c r="J298" s="490"/>
      <c r="K298" s="490"/>
      <c r="L298" s="131"/>
      <c r="M298" s="136"/>
      <c r="N298" s="234">
        <v>55.446</v>
      </c>
      <c r="O298" s="234">
        <v>55.446</v>
      </c>
      <c r="P298" s="234">
        <v>217.77241</v>
      </c>
      <c r="Q298" s="234">
        <v>0</v>
      </c>
      <c r="R298" s="234">
        <v>0</v>
      </c>
    </row>
    <row r="299" spans="1:18" s="166" customFormat="1" ht="30.75" customHeight="1">
      <c r="A299" s="78"/>
      <c r="B299" s="117" t="s">
        <v>646</v>
      </c>
      <c r="C299" s="548"/>
      <c r="D299" s="164"/>
      <c r="E299" s="430"/>
      <c r="F299" s="498"/>
      <c r="G299" s="498"/>
      <c r="H299" s="525"/>
      <c r="I299" s="530"/>
      <c r="J299" s="264"/>
      <c r="K299" s="264"/>
      <c r="L299" s="265"/>
      <c r="M299" s="209"/>
      <c r="N299" s="266">
        <v>11.357</v>
      </c>
      <c r="O299" s="266">
        <v>11.357</v>
      </c>
      <c r="P299" s="266">
        <v>44.60399</v>
      </c>
      <c r="Q299" s="266">
        <v>0</v>
      </c>
      <c r="R299" s="266">
        <v>0</v>
      </c>
    </row>
    <row r="300" spans="1:18" s="167" customFormat="1" ht="96">
      <c r="A300" s="69" t="s">
        <v>832</v>
      </c>
      <c r="B300" s="242" t="s">
        <v>833</v>
      </c>
      <c r="C300" s="269"/>
      <c r="D300" s="269"/>
      <c r="E300" s="269"/>
      <c r="F300" s="269"/>
      <c r="G300" s="269"/>
      <c r="H300" s="269"/>
      <c r="I300" s="355"/>
      <c r="J300" s="346"/>
      <c r="K300" s="346"/>
      <c r="L300" s="70"/>
      <c r="M300" s="70"/>
      <c r="N300" s="332">
        <f>SUM(N301:N302)+N304+N305+N310</f>
        <v>2240.009</v>
      </c>
      <c r="O300" s="332">
        <f>SUM(O301:O302)+O304+O305+O310</f>
        <v>2231.009</v>
      </c>
      <c r="P300" s="332">
        <f>SUM(P301:P302)+P304+P305+P310</f>
        <v>1936.5</v>
      </c>
      <c r="Q300" s="332">
        <f>SUM(Q301:Q302)+Q304+Q305+Q310</f>
        <v>1664.7</v>
      </c>
      <c r="R300" s="332">
        <f>SUM(R301:R302)+R304+R305+R310</f>
        <v>1664.7</v>
      </c>
    </row>
    <row r="301" spans="1:18" s="167" customFormat="1" ht="72">
      <c r="A301" s="494" t="s">
        <v>834</v>
      </c>
      <c r="B301" s="67">
        <v>1601</v>
      </c>
      <c r="C301" s="497" t="s">
        <v>201</v>
      </c>
      <c r="D301" s="497" t="s">
        <v>202</v>
      </c>
      <c r="E301" s="497" t="s">
        <v>203</v>
      </c>
      <c r="F301" s="43"/>
      <c r="G301" s="43"/>
      <c r="H301" s="43"/>
      <c r="I301" s="427" t="s">
        <v>204</v>
      </c>
      <c r="J301" s="194" t="s">
        <v>70</v>
      </c>
      <c r="K301" s="194" t="s">
        <v>205</v>
      </c>
      <c r="L301" s="67" t="s">
        <v>32</v>
      </c>
      <c r="M301" s="67" t="s">
        <v>26</v>
      </c>
      <c r="N301" s="68">
        <v>1320.4</v>
      </c>
      <c r="O301" s="68">
        <v>1320.4</v>
      </c>
      <c r="P301" s="68">
        <v>1602.2</v>
      </c>
      <c r="Q301" s="68">
        <v>1330.4</v>
      </c>
      <c r="R301" s="68">
        <v>1330.4</v>
      </c>
    </row>
    <row r="302" spans="1:18" s="167" customFormat="1" ht="60.75" customHeight="1">
      <c r="A302" s="501"/>
      <c r="B302" s="95" t="s">
        <v>554</v>
      </c>
      <c r="C302" s="493"/>
      <c r="D302" s="493"/>
      <c r="E302" s="493"/>
      <c r="F302" s="14"/>
      <c r="G302" s="14"/>
      <c r="H302" s="14"/>
      <c r="I302" s="420" t="s">
        <v>781</v>
      </c>
      <c r="J302" s="12" t="s">
        <v>70</v>
      </c>
      <c r="K302" s="12" t="s">
        <v>780</v>
      </c>
      <c r="L302" s="162" t="s">
        <v>32</v>
      </c>
      <c r="M302" s="162" t="s">
        <v>26</v>
      </c>
      <c r="N302" s="92">
        <v>600</v>
      </c>
      <c r="O302" s="92">
        <v>600</v>
      </c>
      <c r="P302" s="92">
        <v>0</v>
      </c>
      <c r="Q302" s="92">
        <v>0</v>
      </c>
      <c r="R302" s="92">
        <v>0</v>
      </c>
    </row>
    <row r="303" spans="1:18" s="167" customFormat="1" ht="85.5" customHeight="1">
      <c r="A303" s="262"/>
      <c r="B303" s="95"/>
      <c r="C303" s="14"/>
      <c r="D303" s="14"/>
      <c r="E303" s="14"/>
      <c r="F303" s="14"/>
      <c r="G303" s="14"/>
      <c r="H303" s="14"/>
      <c r="I303" s="420" t="s">
        <v>782</v>
      </c>
      <c r="J303" s="12" t="s">
        <v>70</v>
      </c>
      <c r="K303" s="12" t="s">
        <v>783</v>
      </c>
      <c r="L303" s="91"/>
      <c r="M303" s="91"/>
      <c r="N303" s="92"/>
      <c r="O303" s="92"/>
      <c r="P303" s="92"/>
      <c r="Q303" s="92"/>
      <c r="R303" s="92"/>
    </row>
    <row r="304" spans="1:18" s="167" customFormat="1" ht="108.75" customHeight="1" hidden="1">
      <c r="A304" s="66" t="s">
        <v>835</v>
      </c>
      <c r="B304" s="67">
        <v>1602</v>
      </c>
      <c r="C304" s="37" t="s">
        <v>389</v>
      </c>
      <c r="D304" s="37" t="s">
        <v>207</v>
      </c>
      <c r="E304" s="37" t="s">
        <v>208</v>
      </c>
      <c r="F304" s="37" t="s">
        <v>451</v>
      </c>
      <c r="G304" s="37" t="s">
        <v>452</v>
      </c>
      <c r="H304" s="37" t="s">
        <v>453</v>
      </c>
      <c r="I304" s="427" t="s">
        <v>209</v>
      </c>
      <c r="J304" s="194" t="s">
        <v>72</v>
      </c>
      <c r="K304" s="194" t="s">
        <v>210</v>
      </c>
      <c r="L304" s="67" t="s">
        <v>23</v>
      </c>
      <c r="M304" s="67" t="s">
        <v>37</v>
      </c>
      <c r="N304" s="68">
        <v>0</v>
      </c>
      <c r="O304" s="68"/>
      <c r="P304" s="68">
        <v>0</v>
      </c>
      <c r="Q304" s="68"/>
      <c r="R304" s="68">
        <v>0</v>
      </c>
    </row>
    <row r="305" spans="1:18" s="167" customFormat="1" ht="48">
      <c r="A305" s="69" t="s">
        <v>836</v>
      </c>
      <c r="B305" s="70">
        <v>1603</v>
      </c>
      <c r="C305" s="44"/>
      <c r="D305" s="44"/>
      <c r="E305" s="44"/>
      <c r="F305" s="44"/>
      <c r="G305" s="44"/>
      <c r="H305" s="44"/>
      <c r="I305" s="44"/>
      <c r="J305" s="44"/>
      <c r="K305" s="44"/>
      <c r="L305" s="70" t="s">
        <v>32</v>
      </c>
      <c r="M305" s="70" t="s">
        <v>26</v>
      </c>
      <c r="N305" s="332">
        <f>SUM(N307:N309)</f>
        <v>147.181</v>
      </c>
      <c r="O305" s="332">
        <f>SUM(O307:O309)</f>
        <v>138.181</v>
      </c>
      <c r="P305" s="332">
        <f>SUM(P307:P309)</f>
        <v>153.6</v>
      </c>
      <c r="Q305" s="332">
        <f>SUM(Q307:Q309)</f>
        <v>153.6</v>
      </c>
      <c r="R305" s="332">
        <f>SUM(R307:R309)</f>
        <v>153.6</v>
      </c>
    </row>
    <row r="306" spans="1:18" s="167" customFormat="1" ht="12">
      <c r="A306" s="69" t="s">
        <v>100</v>
      </c>
      <c r="B306" s="70"/>
      <c r="C306" s="44"/>
      <c r="D306" s="44"/>
      <c r="E306" s="44"/>
      <c r="F306" s="44"/>
      <c r="G306" s="44"/>
      <c r="H306" s="44"/>
      <c r="I306" s="44"/>
      <c r="J306" s="44"/>
      <c r="K306" s="44"/>
      <c r="L306" s="67"/>
      <c r="M306" s="67"/>
      <c r="N306" s="68"/>
      <c r="O306" s="68"/>
      <c r="P306" s="68"/>
      <c r="Q306" s="68"/>
      <c r="R306" s="235"/>
    </row>
    <row r="307" spans="1:18" s="167" customFormat="1" ht="47.25" customHeight="1">
      <c r="A307" s="66"/>
      <c r="B307" s="67"/>
      <c r="C307" s="43" t="s">
        <v>57</v>
      </c>
      <c r="D307" s="43" t="s">
        <v>211</v>
      </c>
      <c r="E307" s="43" t="s">
        <v>58</v>
      </c>
      <c r="F307" s="43"/>
      <c r="G307" s="43"/>
      <c r="H307" s="43"/>
      <c r="I307" s="43" t="s">
        <v>501</v>
      </c>
      <c r="J307" s="43" t="s">
        <v>212</v>
      </c>
      <c r="K307" s="43" t="s">
        <v>123</v>
      </c>
      <c r="L307" s="67"/>
      <c r="M307" s="67"/>
      <c r="N307" s="35">
        <v>132.181</v>
      </c>
      <c r="O307" s="35">
        <v>132.181</v>
      </c>
      <c r="P307" s="35">
        <v>138.6</v>
      </c>
      <c r="Q307" s="35">
        <v>138.6</v>
      </c>
      <c r="R307" s="35">
        <v>138.6</v>
      </c>
    </row>
    <row r="308" spans="1:18" s="167" customFormat="1" ht="40.5" customHeight="1">
      <c r="A308" s="90"/>
      <c r="B308" s="91"/>
      <c r="C308" s="14"/>
      <c r="D308" s="14"/>
      <c r="E308" s="14"/>
      <c r="F308" s="14"/>
      <c r="G308" s="14"/>
      <c r="H308" s="14"/>
      <c r="I308" s="14" t="s">
        <v>213</v>
      </c>
      <c r="J308" s="14" t="s">
        <v>214</v>
      </c>
      <c r="K308" s="14" t="s">
        <v>215</v>
      </c>
      <c r="L308" s="91"/>
      <c r="M308" s="91"/>
      <c r="N308" s="86">
        <v>0</v>
      </c>
      <c r="O308" s="86"/>
      <c r="P308" s="86">
        <v>0</v>
      </c>
      <c r="Q308" s="86"/>
      <c r="R308" s="237"/>
    </row>
    <row r="309" spans="1:18" s="167" customFormat="1" ht="47.25" customHeight="1">
      <c r="A309" s="90"/>
      <c r="B309" s="91"/>
      <c r="C309" s="14"/>
      <c r="D309" s="14"/>
      <c r="E309" s="14"/>
      <c r="F309" s="172"/>
      <c r="G309" s="127"/>
      <c r="H309" s="127"/>
      <c r="I309" s="14" t="s">
        <v>434</v>
      </c>
      <c r="J309" s="14" t="s">
        <v>216</v>
      </c>
      <c r="K309" s="14" t="s">
        <v>217</v>
      </c>
      <c r="L309" s="91"/>
      <c r="M309" s="91"/>
      <c r="N309" s="86">
        <v>15</v>
      </c>
      <c r="O309" s="86">
        <v>6</v>
      </c>
      <c r="P309" s="86">
        <v>15</v>
      </c>
      <c r="Q309" s="86">
        <v>15</v>
      </c>
      <c r="R309" s="86">
        <v>15</v>
      </c>
    </row>
    <row r="310" spans="1:18" s="167" customFormat="1" ht="97.5" customHeight="1">
      <c r="A310" s="66" t="s">
        <v>837</v>
      </c>
      <c r="B310" s="67">
        <v>1604</v>
      </c>
      <c r="C310" s="431" t="s">
        <v>57</v>
      </c>
      <c r="D310" s="432" t="s">
        <v>387</v>
      </c>
      <c r="E310" s="433" t="s">
        <v>159</v>
      </c>
      <c r="F310" s="434" t="s">
        <v>218</v>
      </c>
      <c r="G310" s="435" t="s">
        <v>219</v>
      </c>
      <c r="H310" s="435" t="s">
        <v>220</v>
      </c>
      <c r="I310" s="435" t="s">
        <v>221</v>
      </c>
      <c r="J310" s="435" t="s">
        <v>165</v>
      </c>
      <c r="K310" s="436" t="s">
        <v>222</v>
      </c>
      <c r="L310" s="67" t="s">
        <v>32</v>
      </c>
      <c r="M310" s="67" t="s">
        <v>26</v>
      </c>
      <c r="N310" s="68">
        <v>172.428</v>
      </c>
      <c r="O310" s="68">
        <v>172.428</v>
      </c>
      <c r="P310" s="68">
        <v>180.7</v>
      </c>
      <c r="Q310" s="68">
        <v>180.7</v>
      </c>
      <c r="R310" s="68">
        <v>180.7</v>
      </c>
    </row>
    <row r="311" spans="1:18" s="167" customFormat="1" ht="121.5" customHeight="1">
      <c r="A311" s="66" t="s">
        <v>5</v>
      </c>
      <c r="B311" s="67">
        <v>1700</v>
      </c>
      <c r="C311" s="67" t="s">
        <v>29</v>
      </c>
      <c r="D311" s="67" t="s">
        <v>29</v>
      </c>
      <c r="E311" s="67" t="s">
        <v>29</v>
      </c>
      <c r="F311" s="67" t="s">
        <v>29</v>
      </c>
      <c r="G311" s="67" t="s">
        <v>29</v>
      </c>
      <c r="H311" s="67" t="s">
        <v>29</v>
      </c>
      <c r="I311" s="67" t="s">
        <v>29</v>
      </c>
      <c r="J311" s="67" t="s">
        <v>29</v>
      </c>
      <c r="K311" s="67" t="s">
        <v>29</v>
      </c>
      <c r="L311" s="67"/>
      <c r="M311" s="67"/>
      <c r="N311" s="68">
        <f>N312+N319</f>
        <v>75317.695</v>
      </c>
      <c r="O311" s="68">
        <f>O312+O319</f>
        <v>70297.425</v>
      </c>
      <c r="P311" s="68">
        <f>P312+P319</f>
        <v>88568.08600000001</v>
      </c>
      <c r="Q311" s="68">
        <f>Q312+Q319</f>
        <v>52816.816999999995</v>
      </c>
      <c r="R311" s="68">
        <f>R312+R319</f>
        <v>52849.416999999994</v>
      </c>
    </row>
    <row r="312" spans="1:18" s="167" customFormat="1" ht="24.75" customHeight="1">
      <c r="A312" s="66" t="s">
        <v>838</v>
      </c>
      <c r="B312" s="67">
        <v>1701</v>
      </c>
      <c r="C312" s="67" t="s">
        <v>29</v>
      </c>
      <c r="D312" s="67" t="s">
        <v>29</v>
      </c>
      <c r="E312" s="67" t="s">
        <v>29</v>
      </c>
      <c r="F312" s="67" t="s">
        <v>29</v>
      </c>
      <c r="G312" s="67" t="s">
        <v>29</v>
      </c>
      <c r="H312" s="67" t="s">
        <v>29</v>
      </c>
      <c r="I312" s="67" t="s">
        <v>29</v>
      </c>
      <c r="J312" s="67" t="s">
        <v>29</v>
      </c>
      <c r="K312" s="67" t="s">
        <v>29</v>
      </c>
      <c r="L312" s="67"/>
      <c r="M312" s="67"/>
      <c r="N312" s="68">
        <f>SUM(N314:N316)</f>
        <v>1208.8</v>
      </c>
      <c r="O312" s="68">
        <f>SUM(O314:O316)</f>
        <v>1073.803</v>
      </c>
      <c r="P312" s="68">
        <f>SUM(P314:P316)</f>
        <v>812.6</v>
      </c>
      <c r="Q312" s="68">
        <f>SUM(Q314:Q316)</f>
        <v>816.5</v>
      </c>
      <c r="R312" s="68">
        <f>SUM(R314:R316)</f>
        <v>849.1</v>
      </c>
    </row>
    <row r="313" spans="1:18" s="167" customFormat="1" ht="12">
      <c r="A313" s="69" t="s">
        <v>100</v>
      </c>
      <c r="B313" s="70"/>
      <c r="C313" s="70"/>
      <c r="D313" s="70"/>
      <c r="E313" s="70"/>
      <c r="F313" s="70"/>
      <c r="G313" s="70"/>
      <c r="H313" s="70"/>
      <c r="I313" s="70"/>
      <c r="J313" s="70"/>
      <c r="K313" s="70"/>
      <c r="L313" s="111"/>
      <c r="M313" s="111"/>
      <c r="N313" s="68"/>
      <c r="O313" s="68"/>
      <c r="P313" s="68"/>
      <c r="Q313" s="68"/>
      <c r="R313" s="68"/>
    </row>
    <row r="314" spans="1:18" s="168" customFormat="1" ht="12">
      <c r="A314" s="71"/>
      <c r="B314" s="72"/>
      <c r="C314" s="72"/>
      <c r="D314" s="72"/>
      <c r="E314" s="72"/>
      <c r="F314" s="72"/>
      <c r="G314" s="72"/>
      <c r="H314" s="72"/>
      <c r="I314" s="72"/>
      <c r="J314" s="72"/>
      <c r="K314" s="72"/>
      <c r="L314" s="129" t="s">
        <v>32</v>
      </c>
      <c r="M314" s="129" t="s">
        <v>35</v>
      </c>
      <c r="N314" s="100">
        <f>N317</f>
        <v>112</v>
      </c>
      <c r="O314" s="100">
        <f>O317</f>
        <v>77.9</v>
      </c>
      <c r="P314" s="100">
        <f>P317</f>
        <v>26</v>
      </c>
      <c r="Q314" s="100">
        <f>Q317</f>
        <v>0</v>
      </c>
      <c r="R314" s="100">
        <f>R317</f>
        <v>0</v>
      </c>
    </row>
    <row r="315" spans="1:18" s="168" customFormat="1" ht="12">
      <c r="A315" s="71"/>
      <c r="B315" s="72"/>
      <c r="C315" s="72"/>
      <c r="D315" s="72"/>
      <c r="E315" s="72"/>
      <c r="F315" s="72"/>
      <c r="G315" s="72"/>
      <c r="H315" s="72"/>
      <c r="I315" s="72"/>
      <c r="J315" s="72"/>
      <c r="K315" s="72"/>
      <c r="L315" s="129" t="s">
        <v>37</v>
      </c>
      <c r="M315" s="129" t="s">
        <v>35</v>
      </c>
      <c r="N315" s="100"/>
      <c r="O315" s="100"/>
      <c r="P315" s="100"/>
      <c r="Q315" s="100"/>
      <c r="R315" s="100"/>
    </row>
    <row r="316" spans="1:18" s="168" customFormat="1" ht="12">
      <c r="A316" s="71"/>
      <c r="B316" s="72"/>
      <c r="C316" s="72"/>
      <c r="D316" s="72"/>
      <c r="E316" s="72"/>
      <c r="F316" s="72"/>
      <c r="G316" s="72"/>
      <c r="H316" s="72"/>
      <c r="I316" s="72"/>
      <c r="J316" s="72"/>
      <c r="K316" s="72"/>
      <c r="L316" s="129" t="s">
        <v>23</v>
      </c>
      <c r="M316" s="129" t="s">
        <v>37</v>
      </c>
      <c r="N316" s="100">
        <f>N318</f>
        <v>1096.8</v>
      </c>
      <c r="O316" s="100">
        <f>O318</f>
        <v>995.903</v>
      </c>
      <c r="P316" s="100">
        <f>P318</f>
        <v>786.6</v>
      </c>
      <c r="Q316" s="100">
        <f>Q318</f>
        <v>816.5</v>
      </c>
      <c r="R316" s="100">
        <f>R318</f>
        <v>849.1</v>
      </c>
    </row>
    <row r="317" spans="1:18" s="166" customFormat="1" ht="192">
      <c r="A317" s="75" t="s">
        <v>52</v>
      </c>
      <c r="B317" s="85" t="s">
        <v>839</v>
      </c>
      <c r="C317" s="434" t="s">
        <v>223</v>
      </c>
      <c r="D317" s="435" t="s">
        <v>224</v>
      </c>
      <c r="E317" s="437" t="s">
        <v>225</v>
      </c>
      <c r="F317" s="435" t="s">
        <v>226</v>
      </c>
      <c r="G317" s="435" t="s">
        <v>135</v>
      </c>
      <c r="H317" s="435" t="s">
        <v>64</v>
      </c>
      <c r="I317" s="435" t="s">
        <v>227</v>
      </c>
      <c r="J317" s="435" t="s">
        <v>92</v>
      </c>
      <c r="K317" s="436" t="s">
        <v>228</v>
      </c>
      <c r="L317" s="80" t="s">
        <v>32</v>
      </c>
      <c r="M317" s="80" t="s">
        <v>35</v>
      </c>
      <c r="N317" s="35">
        <v>112</v>
      </c>
      <c r="O317" s="35">
        <v>77.9</v>
      </c>
      <c r="P317" s="35">
        <v>26</v>
      </c>
      <c r="Q317" s="35">
        <v>0</v>
      </c>
      <c r="R317" s="236">
        <v>0</v>
      </c>
    </row>
    <row r="318" spans="1:18" s="166" customFormat="1" ht="168">
      <c r="A318" s="149" t="s">
        <v>907</v>
      </c>
      <c r="B318" s="150" t="s">
        <v>908</v>
      </c>
      <c r="C318" s="422" t="s">
        <v>254</v>
      </c>
      <c r="D318" s="393" t="s">
        <v>202</v>
      </c>
      <c r="E318" s="393" t="s">
        <v>255</v>
      </c>
      <c r="F318" s="393" t="s">
        <v>256</v>
      </c>
      <c r="G318" s="393" t="s">
        <v>257</v>
      </c>
      <c r="H318" s="393" t="s">
        <v>232</v>
      </c>
      <c r="I318" s="393" t="s">
        <v>438</v>
      </c>
      <c r="J318" s="438" t="s">
        <v>258</v>
      </c>
      <c r="K318" s="439" t="s">
        <v>259</v>
      </c>
      <c r="L318" s="150">
        <v>10</v>
      </c>
      <c r="M318" s="151" t="s">
        <v>37</v>
      </c>
      <c r="N318" s="156">
        <v>1096.8</v>
      </c>
      <c r="O318" s="156">
        <v>995.903</v>
      </c>
      <c r="P318" s="156">
        <v>786.6</v>
      </c>
      <c r="Q318" s="156">
        <v>816.5</v>
      </c>
      <c r="R318" s="156">
        <v>849.1</v>
      </c>
    </row>
    <row r="319" spans="1:18" s="167" customFormat="1" ht="36">
      <c r="A319" s="66" t="s">
        <v>840</v>
      </c>
      <c r="B319" s="67">
        <v>1800</v>
      </c>
      <c r="C319" s="348"/>
      <c r="D319" s="348"/>
      <c r="E319" s="356"/>
      <c r="F319" s="348"/>
      <c r="G319" s="348"/>
      <c r="H319" s="348"/>
      <c r="I319" s="348"/>
      <c r="J319" s="348"/>
      <c r="K319" s="348"/>
      <c r="L319" s="67"/>
      <c r="M319" s="67"/>
      <c r="N319" s="68">
        <f>SUM(N321:N328)</f>
        <v>74108.895</v>
      </c>
      <c r="O319" s="68">
        <f>SUM(O321:O328)</f>
        <v>69223.622</v>
      </c>
      <c r="P319" s="68">
        <f>SUM(P321:P328)</f>
        <v>87755.486</v>
      </c>
      <c r="Q319" s="68">
        <f>SUM(Q321:Q328)</f>
        <v>52000.316999999995</v>
      </c>
      <c r="R319" s="68">
        <f>SUM(R321:R328)</f>
        <v>52000.316999999995</v>
      </c>
    </row>
    <row r="320" spans="1:18" s="167" customFormat="1" ht="12">
      <c r="A320" s="69" t="s">
        <v>100</v>
      </c>
      <c r="B320" s="70"/>
      <c r="C320" s="70"/>
      <c r="D320" s="70"/>
      <c r="E320" s="70"/>
      <c r="F320" s="70"/>
      <c r="G320" s="70"/>
      <c r="H320" s="70"/>
      <c r="I320" s="70"/>
      <c r="J320" s="70"/>
      <c r="K320" s="70"/>
      <c r="L320" s="111"/>
      <c r="M320" s="111"/>
      <c r="N320" s="68"/>
      <c r="O320" s="68"/>
      <c r="P320" s="68"/>
      <c r="Q320" s="68"/>
      <c r="R320" s="68"/>
    </row>
    <row r="321" spans="1:18" s="168" customFormat="1" ht="12">
      <c r="A321" s="71"/>
      <c r="B321" s="72"/>
      <c r="C321" s="72"/>
      <c r="D321" s="72"/>
      <c r="E321" s="72"/>
      <c r="F321" s="72"/>
      <c r="G321" s="72"/>
      <c r="H321" s="72"/>
      <c r="I321" s="72"/>
      <c r="J321" s="72"/>
      <c r="K321" s="72"/>
      <c r="L321" s="129" t="s">
        <v>32</v>
      </c>
      <c r="M321" s="129" t="s">
        <v>37</v>
      </c>
      <c r="N321" s="100">
        <f>N330+N342</f>
        <v>11078.7</v>
      </c>
      <c r="O321" s="100">
        <f>O330+O342</f>
        <v>10829.137</v>
      </c>
      <c r="P321" s="100">
        <f>P330+P342</f>
        <v>11564.8</v>
      </c>
      <c r="Q321" s="100">
        <f>Q330+Q342</f>
        <v>11564.8</v>
      </c>
      <c r="R321" s="100">
        <f>R330+R342</f>
        <v>11564.8</v>
      </c>
    </row>
    <row r="322" spans="1:18" s="168" customFormat="1" ht="12">
      <c r="A322" s="71"/>
      <c r="B322" s="72"/>
      <c r="C322" s="72"/>
      <c r="D322" s="72"/>
      <c r="E322" s="72"/>
      <c r="F322" s="72"/>
      <c r="G322" s="72"/>
      <c r="H322" s="72"/>
      <c r="I322" s="72"/>
      <c r="J322" s="72"/>
      <c r="K322" s="72"/>
      <c r="L322" s="129" t="s">
        <v>37</v>
      </c>
      <c r="M322" s="129" t="s">
        <v>32</v>
      </c>
      <c r="N322" s="100">
        <f>N337+N349</f>
        <v>203.3</v>
      </c>
      <c r="O322" s="100">
        <f>O337+O349</f>
        <v>203.3</v>
      </c>
      <c r="P322" s="100">
        <f>P337+P349</f>
        <v>203.3</v>
      </c>
      <c r="Q322" s="100">
        <f>Q337+Q349</f>
        <v>203.3</v>
      </c>
      <c r="R322" s="100">
        <f>R337+R349</f>
        <v>203.3</v>
      </c>
    </row>
    <row r="323" spans="1:18" s="168" customFormat="1" ht="12">
      <c r="A323" s="71"/>
      <c r="B323" s="72"/>
      <c r="C323" s="72"/>
      <c r="D323" s="72"/>
      <c r="E323" s="72"/>
      <c r="F323" s="72"/>
      <c r="G323" s="72"/>
      <c r="H323" s="72"/>
      <c r="I323" s="72"/>
      <c r="J323" s="72"/>
      <c r="K323" s="72"/>
      <c r="L323" s="129" t="s">
        <v>37</v>
      </c>
      <c r="M323" s="129" t="s">
        <v>35</v>
      </c>
      <c r="N323" s="100">
        <f>N338+N350+N353+N363</f>
        <v>8368.965</v>
      </c>
      <c r="O323" s="100">
        <f>O338+O350+O353+O363</f>
        <v>8367.061000000002</v>
      </c>
      <c r="P323" s="100">
        <f>P338+P350+P353+P363</f>
        <v>10289.600000000002</v>
      </c>
      <c r="Q323" s="100">
        <f>Q338+Q350+Q353+Q363</f>
        <v>8734.752</v>
      </c>
      <c r="R323" s="100">
        <f>R338+R350+R353+R363</f>
        <v>8734.752</v>
      </c>
    </row>
    <row r="324" spans="1:18" s="168" customFormat="1" ht="12">
      <c r="A324" s="71"/>
      <c r="B324" s="72"/>
      <c r="C324" s="72"/>
      <c r="D324" s="72"/>
      <c r="E324" s="72"/>
      <c r="F324" s="72"/>
      <c r="G324" s="72"/>
      <c r="H324" s="72"/>
      <c r="I324" s="72"/>
      <c r="J324" s="72"/>
      <c r="K324" s="72"/>
      <c r="L324" s="129" t="s">
        <v>43</v>
      </c>
      <c r="M324" s="129" t="s">
        <v>32</v>
      </c>
      <c r="N324" s="100">
        <f>N355+N360+N364</f>
        <v>1489.524</v>
      </c>
      <c r="O324" s="100">
        <f>O355+O360+O364</f>
        <v>554.395</v>
      </c>
      <c r="P324" s="100">
        <f>P355+P360+P364+P365</f>
        <v>1100.5349999999999</v>
      </c>
      <c r="Q324" s="100">
        <f>Q355+Q360+Q364</f>
        <v>666</v>
      </c>
      <c r="R324" s="100">
        <f>R355+R360+R364</f>
        <v>666</v>
      </c>
    </row>
    <row r="325" spans="1:18" s="168" customFormat="1" ht="12">
      <c r="A325" s="71"/>
      <c r="B325" s="72"/>
      <c r="C325" s="72"/>
      <c r="D325" s="72"/>
      <c r="E325" s="72"/>
      <c r="F325" s="72"/>
      <c r="G325" s="72"/>
      <c r="H325" s="72"/>
      <c r="I325" s="72"/>
      <c r="J325" s="72"/>
      <c r="K325" s="72"/>
      <c r="L325" s="129" t="s">
        <v>43</v>
      </c>
      <c r="M325" s="129" t="s">
        <v>36</v>
      </c>
      <c r="N325" s="100">
        <f>N356+N361+N366</f>
        <v>15573.378</v>
      </c>
      <c r="O325" s="100">
        <f>O356+O361+O366</f>
        <v>12684.863</v>
      </c>
      <c r="P325" s="100">
        <f>P356+P361+P366</f>
        <v>16500.475</v>
      </c>
      <c r="Q325" s="100">
        <f>Q356+Q361+Q366</f>
        <v>16500.475</v>
      </c>
      <c r="R325" s="100">
        <f>R356+R361+R366</f>
        <v>16500.475</v>
      </c>
    </row>
    <row r="326" spans="1:18" s="168" customFormat="1" ht="12">
      <c r="A326" s="71"/>
      <c r="B326" s="72"/>
      <c r="C326" s="72"/>
      <c r="D326" s="72"/>
      <c r="E326" s="72"/>
      <c r="F326" s="72"/>
      <c r="G326" s="72"/>
      <c r="H326" s="72"/>
      <c r="I326" s="72"/>
      <c r="J326" s="72"/>
      <c r="K326" s="72"/>
      <c r="L326" s="129" t="s">
        <v>43</v>
      </c>
      <c r="M326" s="129" t="s">
        <v>41</v>
      </c>
      <c r="N326" s="100">
        <f>N357</f>
        <v>83.328</v>
      </c>
      <c r="O326" s="100">
        <f>O357</f>
        <v>83.328</v>
      </c>
      <c r="P326" s="100">
        <f>P357</f>
        <v>46.49</v>
      </c>
      <c r="Q326" s="100">
        <f>Q357</f>
        <v>46.49</v>
      </c>
      <c r="R326" s="100">
        <f>R357</f>
        <v>46.49</v>
      </c>
    </row>
    <row r="327" spans="1:18" s="168" customFormat="1" ht="12">
      <c r="A327" s="71"/>
      <c r="B327" s="72"/>
      <c r="C327" s="72"/>
      <c r="D327" s="72"/>
      <c r="E327" s="72"/>
      <c r="F327" s="72"/>
      <c r="G327" s="72"/>
      <c r="H327" s="72"/>
      <c r="I327" s="72"/>
      <c r="J327" s="72"/>
      <c r="K327" s="72"/>
      <c r="L327" s="129" t="s">
        <v>23</v>
      </c>
      <c r="M327" s="129" t="s">
        <v>37</v>
      </c>
      <c r="N327" s="100">
        <f>N362</f>
        <v>37283.9</v>
      </c>
      <c r="O327" s="100">
        <f>O362</f>
        <v>36482.938</v>
      </c>
      <c r="P327" s="100">
        <f>P362+P359</f>
        <v>48031.786</v>
      </c>
      <c r="Q327" s="100">
        <f>Q362</f>
        <v>14266</v>
      </c>
      <c r="R327" s="100">
        <f>R362</f>
        <v>14266</v>
      </c>
    </row>
    <row r="328" spans="1:18" s="168" customFormat="1" ht="12">
      <c r="A328" s="71"/>
      <c r="B328" s="72"/>
      <c r="C328" s="72"/>
      <c r="D328" s="72"/>
      <c r="E328" s="72"/>
      <c r="F328" s="72"/>
      <c r="G328" s="72"/>
      <c r="H328" s="72"/>
      <c r="I328" s="72"/>
      <c r="J328" s="72"/>
      <c r="K328" s="72"/>
      <c r="L328" s="129" t="s">
        <v>23</v>
      </c>
      <c r="M328" s="129" t="s">
        <v>33</v>
      </c>
      <c r="N328" s="100">
        <f>N340+N352</f>
        <v>27.8</v>
      </c>
      <c r="O328" s="100">
        <f>O340+O352</f>
        <v>18.6</v>
      </c>
      <c r="P328" s="100">
        <f>P340+P352</f>
        <v>18.5</v>
      </c>
      <c r="Q328" s="100">
        <f>Q340+Q352</f>
        <v>18.5</v>
      </c>
      <c r="R328" s="100">
        <f>R340+R352</f>
        <v>18.5</v>
      </c>
    </row>
    <row r="329" spans="1:18" s="166" customFormat="1" ht="14.25" customHeight="1">
      <c r="A329" s="549" t="s">
        <v>909</v>
      </c>
      <c r="B329" s="150">
        <v>1801</v>
      </c>
      <c r="C329" s="58"/>
      <c r="D329" s="58"/>
      <c r="E329" s="255"/>
      <c r="F329" s="58"/>
      <c r="G329" s="58"/>
      <c r="H329" s="58"/>
      <c r="I329" s="58"/>
      <c r="J329" s="58"/>
      <c r="K329" s="58"/>
      <c r="L329" s="150"/>
      <c r="M329" s="150"/>
      <c r="N329" s="156">
        <f>SUM(N330:N340)</f>
        <v>3980.101</v>
      </c>
      <c r="O329" s="156">
        <f>SUM(O330:O340)</f>
        <v>3813.0619999999994</v>
      </c>
      <c r="P329" s="156">
        <f>SUM(P330:P340)</f>
        <v>4128.20034</v>
      </c>
      <c r="Q329" s="156">
        <f>SUM(Q330:Q340)</f>
        <v>4180.60934</v>
      </c>
      <c r="R329" s="156">
        <f>SUM(R330:R340)</f>
        <v>4180.60934</v>
      </c>
    </row>
    <row r="330" spans="1:18" s="301" customFormat="1" ht="108.75" customHeight="1">
      <c r="A330" s="500"/>
      <c r="B330" s="95" t="s">
        <v>914</v>
      </c>
      <c r="C330" s="27" t="s">
        <v>229</v>
      </c>
      <c r="D330" s="27" t="s">
        <v>1123</v>
      </c>
      <c r="E330" s="27" t="s">
        <v>230</v>
      </c>
      <c r="F330" s="27" t="s">
        <v>231</v>
      </c>
      <c r="G330" s="27" t="s">
        <v>1124</v>
      </c>
      <c r="H330" s="27" t="s">
        <v>232</v>
      </c>
      <c r="I330" s="27" t="s">
        <v>233</v>
      </c>
      <c r="J330" s="28" t="s">
        <v>234</v>
      </c>
      <c r="K330" s="28" t="s">
        <v>235</v>
      </c>
      <c r="L330" s="299" t="s">
        <v>32</v>
      </c>
      <c r="M330" s="299" t="s">
        <v>37</v>
      </c>
      <c r="N330" s="300">
        <v>3357.1</v>
      </c>
      <c r="O330" s="300">
        <v>3193.22</v>
      </c>
      <c r="P330" s="300">
        <v>3506.177</v>
      </c>
      <c r="Q330" s="300">
        <v>3558.586</v>
      </c>
      <c r="R330" s="300">
        <v>3558.586</v>
      </c>
    </row>
    <row r="331" spans="1:18" s="301" customFormat="1" ht="96.75" customHeight="1">
      <c r="A331" s="383"/>
      <c r="B331" s="113" t="s">
        <v>915</v>
      </c>
      <c r="C331" s="18" t="s">
        <v>272</v>
      </c>
      <c r="D331" s="18" t="s">
        <v>273</v>
      </c>
      <c r="E331" s="18" t="s">
        <v>274</v>
      </c>
      <c r="F331" s="18" t="s">
        <v>275</v>
      </c>
      <c r="G331" s="18" t="s">
        <v>276</v>
      </c>
      <c r="H331" s="423" t="s">
        <v>269</v>
      </c>
      <c r="I331" s="58" t="s">
        <v>277</v>
      </c>
      <c r="J331" s="58" t="s">
        <v>92</v>
      </c>
      <c r="K331" s="18" t="s">
        <v>278</v>
      </c>
      <c r="L331" s="299"/>
      <c r="M331" s="299"/>
      <c r="N331" s="300"/>
      <c r="O331" s="300"/>
      <c r="P331" s="300"/>
      <c r="Q331" s="300"/>
      <c r="R331" s="300"/>
    </row>
    <row r="332" spans="1:18" s="301" customFormat="1" ht="120">
      <c r="A332" s="383"/>
      <c r="B332" s="302"/>
      <c r="C332" s="18" t="s">
        <v>279</v>
      </c>
      <c r="D332" s="18" t="s">
        <v>280</v>
      </c>
      <c r="E332" s="18" t="s">
        <v>281</v>
      </c>
      <c r="F332" s="18" t="s">
        <v>282</v>
      </c>
      <c r="G332" s="18" t="s">
        <v>283</v>
      </c>
      <c r="H332" s="18" t="s">
        <v>284</v>
      </c>
      <c r="I332" s="58" t="s">
        <v>285</v>
      </c>
      <c r="J332" s="58" t="s">
        <v>92</v>
      </c>
      <c r="K332" s="58" t="s">
        <v>286</v>
      </c>
      <c r="L332" s="299"/>
      <c r="M332" s="299"/>
      <c r="N332" s="300"/>
      <c r="O332" s="300"/>
      <c r="P332" s="300"/>
      <c r="Q332" s="300"/>
      <c r="R332" s="300"/>
    </row>
    <row r="333" spans="1:18" s="301" customFormat="1" ht="108" customHeight="1">
      <c r="A333" s="383"/>
      <c r="B333" s="151" t="s">
        <v>916</v>
      </c>
      <c r="C333" s="18" t="s">
        <v>206</v>
      </c>
      <c r="D333" s="18" t="s">
        <v>248</v>
      </c>
      <c r="E333" s="18" t="s">
        <v>287</v>
      </c>
      <c r="F333" s="18" t="s">
        <v>288</v>
      </c>
      <c r="G333" s="18" t="s">
        <v>135</v>
      </c>
      <c r="H333" s="18" t="s">
        <v>289</v>
      </c>
      <c r="I333" s="18" t="s">
        <v>252</v>
      </c>
      <c r="J333" s="18" t="s">
        <v>92</v>
      </c>
      <c r="K333" s="18" t="s">
        <v>290</v>
      </c>
      <c r="L333" s="299"/>
      <c r="M333" s="299"/>
      <c r="N333" s="300"/>
      <c r="O333" s="300"/>
      <c r="P333" s="300"/>
      <c r="Q333" s="300"/>
      <c r="R333" s="300"/>
    </row>
    <row r="334" spans="1:18" s="301" customFormat="1" ht="132.75" customHeight="1">
      <c r="A334" s="383"/>
      <c r="B334" s="151" t="s">
        <v>917</v>
      </c>
      <c r="C334" s="80" t="s">
        <v>459</v>
      </c>
      <c r="D334" s="84" t="s">
        <v>460</v>
      </c>
      <c r="E334" s="80" t="s">
        <v>461</v>
      </c>
      <c r="F334" s="18" t="s">
        <v>291</v>
      </c>
      <c r="G334" s="18" t="s">
        <v>292</v>
      </c>
      <c r="H334" s="423" t="s">
        <v>269</v>
      </c>
      <c r="I334" s="18" t="s">
        <v>293</v>
      </c>
      <c r="J334" s="423" t="s">
        <v>92</v>
      </c>
      <c r="K334" s="423" t="s">
        <v>294</v>
      </c>
      <c r="L334" s="299"/>
      <c r="M334" s="299"/>
      <c r="N334" s="300"/>
      <c r="O334" s="300"/>
      <c r="P334" s="300"/>
      <c r="Q334" s="300"/>
      <c r="R334" s="300"/>
    </row>
    <row r="335" spans="1:18" s="301" customFormat="1" ht="181.5" customHeight="1">
      <c r="A335" s="383"/>
      <c r="B335" s="151" t="s">
        <v>918</v>
      </c>
      <c r="C335" s="18" t="s">
        <v>307</v>
      </c>
      <c r="D335" s="18" t="s">
        <v>1178</v>
      </c>
      <c r="E335" s="18" t="s">
        <v>308</v>
      </c>
      <c r="F335" s="58" t="s">
        <v>309</v>
      </c>
      <c r="G335" s="58" t="s">
        <v>310</v>
      </c>
      <c r="H335" s="255" t="s">
        <v>311</v>
      </c>
      <c r="I335" s="58" t="s">
        <v>1179</v>
      </c>
      <c r="J335" s="255" t="s">
        <v>312</v>
      </c>
      <c r="K335" s="256" t="s">
        <v>313</v>
      </c>
      <c r="L335" s="299"/>
      <c r="M335" s="299"/>
      <c r="N335" s="300"/>
      <c r="O335" s="300"/>
      <c r="P335" s="300"/>
      <c r="Q335" s="300"/>
      <c r="R335" s="300"/>
    </row>
    <row r="336" spans="1:18" s="301" customFormat="1" ht="155.25" customHeight="1">
      <c r="A336" s="383"/>
      <c r="B336" s="151" t="s">
        <v>919</v>
      </c>
      <c r="C336" s="18" t="s">
        <v>318</v>
      </c>
      <c r="D336" s="18" t="s">
        <v>319</v>
      </c>
      <c r="E336" s="423" t="s">
        <v>320</v>
      </c>
      <c r="F336" s="18" t="s">
        <v>321</v>
      </c>
      <c r="G336" s="18" t="s">
        <v>262</v>
      </c>
      <c r="H336" s="18" t="s">
        <v>322</v>
      </c>
      <c r="I336" s="18" t="s">
        <v>323</v>
      </c>
      <c r="J336" s="22" t="s">
        <v>237</v>
      </c>
      <c r="K336" s="22" t="s">
        <v>324</v>
      </c>
      <c r="L336" s="299"/>
      <c r="M336" s="299"/>
      <c r="N336" s="300"/>
      <c r="O336" s="300"/>
      <c r="P336" s="300"/>
      <c r="Q336" s="300"/>
      <c r="R336" s="300"/>
    </row>
    <row r="337" spans="1:18" s="301" customFormat="1" ht="85.5" customHeight="1">
      <c r="A337" s="383"/>
      <c r="B337" s="151" t="s">
        <v>920</v>
      </c>
      <c r="C337" s="434" t="s">
        <v>295</v>
      </c>
      <c r="D337" s="435" t="s">
        <v>296</v>
      </c>
      <c r="E337" s="435" t="s">
        <v>65</v>
      </c>
      <c r="F337" s="435" t="s">
        <v>297</v>
      </c>
      <c r="G337" s="435" t="s">
        <v>262</v>
      </c>
      <c r="H337" s="435" t="s">
        <v>263</v>
      </c>
      <c r="I337" s="442" t="s">
        <v>298</v>
      </c>
      <c r="J337" s="442" t="s">
        <v>70</v>
      </c>
      <c r="K337" s="443" t="s">
        <v>299</v>
      </c>
      <c r="L337" s="299" t="s">
        <v>37</v>
      </c>
      <c r="M337" s="299" t="s">
        <v>32</v>
      </c>
      <c r="N337" s="300">
        <v>48.768</v>
      </c>
      <c r="O337" s="300">
        <v>48.768</v>
      </c>
      <c r="P337" s="300">
        <v>48.7685</v>
      </c>
      <c r="Q337" s="300">
        <v>48.7685</v>
      </c>
      <c r="R337" s="300">
        <v>48.7685</v>
      </c>
    </row>
    <row r="338" spans="1:18" s="301" customFormat="1" ht="120">
      <c r="A338" s="383"/>
      <c r="B338" s="299"/>
      <c r="C338" s="440" t="s">
        <v>454</v>
      </c>
      <c r="D338" s="440" t="s">
        <v>455</v>
      </c>
      <c r="E338" s="440" t="s">
        <v>456</v>
      </c>
      <c r="F338" s="440" t="s">
        <v>457</v>
      </c>
      <c r="G338" s="440" t="s">
        <v>458</v>
      </c>
      <c r="H338" s="440" t="s">
        <v>61</v>
      </c>
      <c r="I338" s="440" t="s">
        <v>436</v>
      </c>
      <c r="J338" s="441" t="s">
        <v>72</v>
      </c>
      <c r="K338" s="441" t="s">
        <v>437</v>
      </c>
      <c r="L338" s="299" t="s">
        <v>37</v>
      </c>
      <c r="M338" s="299" t="s">
        <v>35</v>
      </c>
      <c r="N338" s="300">
        <v>565.844</v>
      </c>
      <c r="O338" s="300">
        <v>565.461</v>
      </c>
      <c r="P338" s="300">
        <f>555.263+12.409</f>
        <v>567.672</v>
      </c>
      <c r="Q338" s="300">
        <f>555.263+12.409</f>
        <v>567.672</v>
      </c>
      <c r="R338" s="300">
        <f>555.263+12.409</f>
        <v>567.672</v>
      </c>
    </row>
    <row r="339" spans="1:18" s="301" customFormat="1" ht="97.5" customHeight="1">
      <c r="A339" s="383"/>
      <c r="B339" s="299"/>
      <c r="C339" s="43" t="s">
        <v>300</v>
      </c>
      <c r="D339" s="43" t="s">
        <v>301</v>
      </c>
      <c r="E339" s="51" t="s">
        <v>302</v>
      </c>
      <c r="F339" s="43" t="s">
        <v>303</v>
      </c>
      <c r="G339" s="43" t="s">
        <v>276</v>
      </c>
      <c r="H339" s="43" t="s">
        <v>1081</v>
      </c>
      <c r="I339" s="43" t="s">
        <v>1082</v>
      </c>
      <c r="J339" s="51" t="s">
        <v>92</v>
      </c>
      <c r="K339" s="51" t="s">
        <v>306</v>
      </c>
      <c r="L339" s="299"/>
      <c r="M339" s="299"/>
      <c r="N339" s="300"/>
      <c r="O339" s="300"/>
      <c r="P339" s="300"/>
      <c r="Q339" s="300"/>
      <c r="R339" s="300"/>
    </row>
    <row r="340" spans="1:18" s="301" customFormat="1" ht="156">
      <c r="A340" s="384"/>
      <c r="B340" s="151" t="s">
        <v>921</v>
      </c>
      <c r="C340" s="43" t="s">
        <v>206</v>
      </c>
      <c r="D340" s="43" t="s">
        <v>248</v>
      </c>
      <c r="E340" s="43" t="s">
        <v>208</v>
      </c>
      <c r="F340" s="43" t="s">
        <v>249</v>
      </c>
      <c r="G340" s="43" t="s">
        <v>250</v>
      </c>
      <c r="H340" s="43" t="s">
        <v>251</v>
      </c>
      <c r="I340" s="43" t="s">
        <v>252</v>
      </c>
      <c r="J340" s="43" t="s">
        <v>92</v>
      </c>
      <c r="K340" s="43" t="s">
        <v>253</v>
      </c>
      <c r="L340" s="299" t="s">
        <v>23</v>
      </c>
      <c r="M340" s="299" t="s">
        <v>33</v>
      </c>
      <c r="N340" s="300">
        <v>8.389</v>
      </c>
      <c r="O340" s="300">
        <v>5.613</v>
      </c>
      <c r="P340" s="300">
        <v>5.58284</v>
      </c>
      <c r="Q340" s="300">
        <v>5.58284</v>
      </c>
      <c r="R340" s="300">
        <v>5.58284</v>
      </c>
    </row>
    <row r="341" spans="1:18" s="166" customFormat="1" ht="14.25" customHeight="1">
      <c r="A341" s="499" t="s">
        <v>910</v>
      </c>
      <c r="B341" s="150">
        <v>1802</v>
      </c>
      <c r="C341" s="58"/>
      <c r="D341" s="58"/>
      <c r="E341" s="255"/>
      <c r="F341" s="58"/>
      <c r="G341" s="58"/>
      <c r="H341" s="58"/>
      <c r="I341" s="58"/>
      <c r="J341" s="58"/>
      <c r="K341" s="58"/>
      <c r="L341" s="150"/>
      <c r="M341" s="150"/>
      <c r="N341" s="156">
        <f>SUM(N342:N352)</f>
        <v>9223.199</v>
      </c>
      <c r="O341" s="156">
        <f>SUM(O342:O352)</f>
        <v>9129.821</v>
      </c>
      <c r="P341" s="156">
        <f>SUM(P342:P352)</f>
        <v>9551.89966</v>
      </c>
      <c r="Q341" s="156">
        <f>SUM(Q342:Q352)</f>
        <v>9499.490660000001</v>
      </c>
      <c r="R341" s="156">
        <f>SUM(R342:R352)</f>
        <v>9499.490660000001</v>
      </c>
    </row>
    <row r="342" spans="1:18" s="301" customFormat="1" ht="118.5" customHeight="1">
      <c r="A342" s="500"/>
      <c r="B342" s="95" t="s">
        <v>914</v>
      </c>
      <c r="C342" s="27" t="s">
        <v>229</v>
      </c>
      <c r="D342" s="27" t="s">
        <v>1123</v>
      </c>
      <c r="E342" s="27" t="s">
        <v>230</v>
      </c>
      <c r="F342" s="27" t="s">
        <v>231</v>
      </c>
      <c r="G342" s="27" t="s">
        <v>1124</v>
      </c>
      <c r="H342" s="27" t="s">
        <v>232</v>
      </c>
      <c r="I342" s="27" t="s">
        <v>233</v>
      </c>
      <c r="J342" s="28" t="s">
        <v>234</v>
      </c>
      <c r="K342" s="28" t="s">
        <v>235</v>
      </c>
      <c r="L342" s="299" t="s">
        <v>32</v>
      </c>
      <c r="M342" s="299" t="s">
        <v>37</v>
      </c>
      <c r="N342" s="300">
        <v>7721.6</v>
      </c>
      <c r="O342" s="300">
        <v>7635.917</v>
      </c>
      <c r="P342" s="300">
        <v>8058.623</v>
      </c>
      <c r="Q342" s="300">
        <v>8006.214</v>
      </c>
      <c r="R342" s="300">
        <v>8006.214</v>
      </c>
    </row>
    <row r="343" spans="1:18" s="301" customFormat="1" ht="96" customHeight="1">
      <c r="A343" s="383"/>
      <c r="B343" s="113" t="s">
        <v>915</v>
      </c>
      <c r="C343" s="18" t="s">
        <v>272</v>
      </c>
      <c r="D343" s="18" t="s">
        <v>273</v>
      </c>
      <c r="E343" s="18" t="s">
        <v>274</v>
      </c>
      <c r="F343" s="18" t="s">
        <v>275</v>
      </c>
      <c r="G343" s="18" t="s">
        <v>276</v>
      </c>
      <c r="H343" s="423" t="s">
        <v>269</v>
      </c>
      <c r="I343" s="58" t="s">
        <v>277</v>
      </c>
      <c r="J343" s="58" t="s">
        <v>92</v>
      </c>
      <c r="K343" s="18" t="s">
        <v>278</v>
      </c>
      <c r="L343" s="76"/>
      <c r="M343" s="76"/>
      <c r="N343" s="300"/>
      <c r="O343" s="300"/>
      <c r="P343" s="300"/>
      <c r="Q343" s="300"/>
      <c r="R343" s="300"/>
    </row>
    <row r="344" spans="1:18" s="301" customFormat="1" ht="110.25" customHeight="1">
      <c r="A344" s="383"/>
      <c r="B344" s="302"/>
      <c r="C344" s="18" t="s">
        <v>279</v>
      </c>
      <c r="D344" s="18" t="s">
        <v>280</v>
      </c>
      <c r="E344" s="18" t="s">
        <v>281</v>
      </c>
      <c r="F344" s="18" t="s">
        <v>282</v>
      </c>
      <c r="G344" s="18" t="s">
        <v>283</v>
      </c>
      <c r="H344" s="18" t="s">
        <v>284</v>
      </c>
      <c r="I344" s="58" t="s">
        <v>285</v>
      </c>
      <c r="J344" s="58" t="s">
        <v>92</v>
      </c>
      <c r="K344" s="58" t="s">
        <v>286</v>
      </c>
      <c r="L344" s="299"/>
      <c r="M344" s="299"/>
      <c r="N344" s="300"/>
      <c r="O344" s="300"/>
      <c r="P344" s="300"/>
      <c r="Q344" s="300"/>
      <c r="R344" s="300"/>
    </row>
    <row r="345" spans="1:18" s="301" customFormat="1" ht="108.75" customHeight="1">
      <c r="A345" s="383"/>
      <c r="B345" s="151" t="s">
        <v>916</v>
      </c>
      <c r="C345" s="18" t="s">
        <v>206</v>
      </c>
      <c r="D345" s="18" t="s">
        <v>248</v>
      </c>
      <c r="E345" s="18" t="s">
        <v>287</v>
      </c>
      <c r="F345" s="18" t="s">
        <v>288</v>
      </c>
      <c r="G345" s="18" t="s">
        <v>135</v>
      </c>
      <c r="H345" s="18" t="s">
        <v>289</v>
      </c>
      <c r="I345" s="18" t="s">
        <v>252</v>
      </c>
      <c r="J345" s="18" t="s">
        <v>92</v>
      </c>
      <c r="K345" s="18" t="s">
        <v>290</v>
      </c>
      <c r="L345" s="299"/>
      <c r="M345" s="299"/>
      <c r="N345" s="300"/>
      <c r="O345" s="300"/>
      <c r="P345" s="300"/>
      <c r="Q345" s="300"/>
      <c r="R345" s="300"/>
    </row>
    <row r="346" spans="1:18" s="301" customFormat="1" ht="144.75" customHeight="1">
      <c r="A346" s="383"/>
      <c r="B346" s="151" t="s">
        <v>917</v>
      </c>
      <c r="C346" s="80" t="s">
        <v>459</v>
      </c>
      <c r="D346" s="84" t="s">
        <v>460</v>
      </c>
      <c r="E346" s="80" t="s">
        <v>461</v>
      </c>
      <c r="F346" s="18" t="s">
        <v>291</v>
      </c>
      <c r="G346" s="18" t="s">
        <v>292</v>
      </c>
      <c r="H346" s="423" t="s">
        <v>269</v>
      </c>
      <c r="I346" s="18" t="s">
        <v>293</v>
      </c>
      <c r="J346" s="423" t="s">
        <v>92</v>
      </c>
      <c r="K346" s="423" t="s">
        <v>294</v>
      </c>
      <c r="L346" s="299"/>
      <c r="M346" s="299"/>
      <c r="N346" s="300"/>
      <c r="O346" s="300"/>
      <c r="P346" s="300"/>
      <c r="Q346" s="300"/>
      <c r="R346" s="300"/>
    </row>
    <row r="347" spans="1:18" s="301" customFormat="1" ht="180" customHeight="1">
      <c r="A347" s="383"/>
      <c r="B347" s="151" t="s">
        <v>918</v>
      </c>
      <c r="C347" s="18" t="s">
        <v>307</v>
      </c>
      <c r="D347" s="18" t="s">
        <v>1178</v>
      </c>
      <c r="E347" s="18" t="s">
        <v>308</v>
      </c>
      <c r="F347" s="58" t="s">
        <v>309</v>
      </c>
      <c r="G347" s="58" t="s">
        <v>310</v>
      </c>
      <c r="H347" s="255" t="s">
        <v>311</v>
      </c>
      <c r="I347" s="58" t="s">
        <v>1179</v>
      </c>
      <c r="J347" s="255" t="s">
        <v>312</v>
      </c>
      <c r="K347" s="256" t="s">
        <v>313</v>
      </c>
      <c r="L347" s="299"/>
      <c r="M347" s="299"/>
      <c r="N347" s="300"/>
      <c r="O347" s="300"/>
      <c r="P347" s="300"/>
      <c r="Q347" s="300"/>
      <c r="R347" s="300"/>
    </row>
    <row r="348" spans="1:18" s="301" customFormat="1" ht="156.75" customHeight="1">
      <c r="A348" s="383"/>
      <c r="B348" s="151" t="s">
        <v>919</v>
      </c>
      <c r="C348" s="18" t="s">
        <v>318</v>
      </c>
      <c r="D348" s="18" t="s">
        <v>319</v>
      </c>
      <c r="E348" s="423" t="s">
        <v>320</v>
      </c>
      <c r="F348" s="18" t="s">
        <v>321</v>
      </c>
      <c r="G348" s="18" t="s">
        <v>1177</v>
      </c>
      <c r="H348" s="18" t="s">
        <v>322</v>
      </c>
      <c r="I348" s="18" t="s">
        <v>323</v>
      </c>
      <c r="J348" s="22" t="s">
        <v>237</v>
      </c>
      <c r="K348" s="22" t="s">
        <v>324</v>
      </c>
      <c r="L348" s="299"/>
      <c r="M348" s="299"/>
      <c r="N348" s="300"/>
      <c r="O348" s="300"/>
      <c r="P348" s="300"/>
      <c r="Q348" s="300"/>
      <c r="R348" s="300"/>
    </row>
    <row r="349" spans="1:18" s="301" customFormat="1" ht="96.75" customHeight="1">
      <c r="A349" s="383"/>
      <c r="B349" s="151" t="s">
        <v>920</v>
      </c>
      <c r="C349" s="434" t="s">
        <v>295</v>
      </c>
      <c r="D349" s="435" t="s">
        <v>296</v>
      </c>
      <c r="E349" s="435" t="s">
        <v>65</v>
      </c>
      <c r="F349" s="435" t="s">
        <v>297</v>
      </c>
      <c r="G349" s="435" t="s">
        <v>262</v>
      </c>
      <c r="H349" s="435" t="s">
        <v>263</v>
      </c>
      <c r="I349" s="442" t="s">
        <v>298</v>
      </c>
      <c r="J349" s="442" t="s">
        <v>70</v>
      </c>
      <c r="K349" s="443" t="s">
        <v>299</v>
      </c>
      <c r="L349" s="299" t="s">
        <v>37</v>
      </c>
      <c r="M349" s="299" t="s">
        <v>32</v>
      </c>
      <c r="N349" s="300">
        <v>154.532</v>
      </c>
      <c r="O349" s="300">
        <v>154.532</v>
      </c>
      <c r="P349" s="300">
        <v>154.5315</v>
      </c>
      <c r="Q349" s="300">
        <v>154.5315</v>
      </c>
      <c r="R349" s="300">
        <v>154.5315</v>
      </c>
    </row>
    <row r="350" spans="1:18" s="301" customFormat="1" ht="84" customHeight="1">
      <c r="A350" s="383"/>
      <c r="B350" s="151" t="s">
        <v>1083</v>
      </c>
      <c r="C350" s="440" t="s">
        <v>454</v>
      </c>
      <c r="D350" s="440" t="s">
        <v>455</v>
      </c>
      <c r="E350" s="440" t="s">
        <v>456</v>
      </c>
      <c r="F350" s="440" t="s">
        <v>457</v>
      </c>
      <c r="G350" s="440" t="s">
        <v>458</v>
      </c>
      <c r="H350" s="440" t="s">
        <v>61</v>
      </c>
      <c r="I350" s="440" t="s">
        <v>436</v>
      </c>
      <c r="J350" s="441" t="s">
        <v>72</v>
      </c>
      <c r="K350" s="441" t="s">
        <v>437</v>
      </c>
      <c r="L350" s="299" t="s">
        <v>37</v>
      </c>
      <c r="M350" s="299" t="s">
        <v>35</v>
      </c>
      <c r="N350" s="300">
        <v>1327.656</v>
      </c>
      <c r="O350" s="300">
        <v>1326.385</v>
      </c>
      <c r="P350" s="300">
        <f>1284.737+41.091</f>
        <v>1325.828</v>
      </c>
      <c r="Q350" s="300">
        <f>1284.737+41.091</f>
        <v>1325.828</v>
      </c>
      <c r="R350" s="300">
        <f>1284.737+41.091</f>
        <v>1325.828</v>
      </c>
    </row>
    <row r="351" spans="1:18" s="301" customFormat="1" ht="97.5" customHeight="1">
      <c r="A351" s="383"/>
      <c r="B351" s="151" t="s">
        <v>1084</v>
      </c>
      <c r="C351" s="43" t="s">
        <v>300</v>
      </c>
      <c r="D351" s="43" t="s">
        <v>301</v>
      </c>
      <c r="E351" s="43" t="s">
        <v>302</v>
      </c>
      <c r="F351" s="43" t="s">
        <v>303</v>
      </c>
      <c r="G351" s="43" t="s">
        <v>1085</v>
      </c>
      <c r="H351" s="43" t="s">
        <v>1081</v>
      </c>
      <c r="I351" s="43" t="s">
        <v>1082</v>
      </c>
      <c r="J351" s="51" t="s">
        <v>92</v>
      </c>
      <c r="K351" s="51" t="s">
        <v>306</v>
      </c>
      <c r="L351" s="299"/>
      <c r="M351" s="299"/>
      <c r="N351" s="300"/>
      <c r="O351" s="300"/>
      <c r="P351" s="300"/>
      <c r="Q351" s="300"/>
      <c r="R351" s="300"/>
    </row>
    <row r="352" spans="1:18" s="301" customFormat="1" ht="144.75" customHeight="1">
      <c r="A352" s="391"/>
      <c r="B352" s="151" t="s">
        <v>921</v>
      </c>
      <c r="C352" s="43" t="s">
        <v>206</v>
      </c>
      <c r="D352" s="43" t="s">
        <v>248</v>
      </c>
      <c r="E352" s="43" t="s">
        <v>208</v>
      </c>
      <c r="F352" s="43" t="s">
        <v>249</v>
      </c>
      <c r="G352" s="43" t="s">
        <v>250</v>
      </c>
      <c r="H352" s="43" t="s">
        <v>251</v>
      </c>
      <c r="I352" s="43" t="s">
        <v>252</v>
      </c>
      <c r="J352" s="43" t="s">
        <v>92</v>
      </c>
      <c r="K352" s="43" t="s">
        <v>253</v>
      </c>
      <c r="L352" s="299" t="s">
        <v>23</v>
      </c>
      <c r="M352" s="299" t="s">
        <v>33</v>
      </c>
      <c r="N352" s="300">
        <v>19.411</v>
      </c>
      <c r="O352" s="300">
        <v>12.987</v>
      </c>
      <c r="P352" s="300">
        <v>12.91716</v>
      </c>
      <c r="Q352" s="300">
        <v>12.91716</v>
      </c>
      <c r="R352" s="300">
        <v>12.91716</v>
      </c>
    </row>
    <row r="353" spans="1:18" s="166" customFormat="1" ht="120">
      <c r="A353" s="505" t="s">
        <v>841</v>
      </c>
      <c r="B353" s="64">
        <v>1805</v>
      </c>
      <c r="C353" s="440" t="s">
        <v>454</v>
      </c>
      <c r="D353" s="440" t="s">
        <v>455</v>
      </c>
      <c r="E353" s="440" t="s">
        <v>456</v>
      </c>
      <c r="F353" s="440" t="s">
        <v>457</v>
      </c>
      <c r="G353" s="440" t="s">
        <v>458</v>
      </c>
      <c r="H353" s="440" t="s">
        <v>61</v>
      </c>
      <c r="I353" s="440" t="s">
        <v>436</v>
      </c>
      <c r="J353" s="441" t="s">
        <v>72</v>
      </c>
      <c r="K353" s="441" t="s">
        <v>437</v>
      </c>
      <c r="L353" s="64" t="s">
        <v>37</v>
      </c>
      <c r="M353" s="64" t="s">
        <v>35</v>
      </c>
      <c r="N353" s="333">
        <v>5839.265</v>
      </c>
      <c r="O353" s="333">
        <v>5839.265</v>
      </c>
      <c r="P353" s="333">
        <f>9.49518+10.28582+123.471+5403.6+1380.78096+179.21904+602.829+50.219</f>
        <v>7759.900000000001</v>
      </c>
      <c r="Q353" s="333">
        <v>6205.052</v>
      </c>
      <c r="R353" s="333">
        <v>6205.052</v>
      </c>
    </row>
    <row r="354" spans="1:18" s="166" customFormat="1" ht="108.75" customHeight="1" hidden="1">
      <c r="A354" s="507"/>
      <c r="B354" s="65"/>
      <c r="C354" s="24" t="s">
        <v>398</v>
      </c>
      <c r="D354" s="24" t="s">
        <v>70</v>
      </c>
      <c r="E354" s="24" t="s">
        <v>399</v>
      </c>
      <c r="F354" s="24" t="s">
        <v>397</v>
      </c>
      <c r="G354" s="24" t="s">
        <v>70</v>
      </c>
      <c r="H354" s="24" t="s">
        <v>81</v>
      </c>
      <c r="I354" s="24" t="s">
        <v>472</v>
      </c>
      <c r="J354" s="52" t="s">
        <v>70</v>
      </c>
      <c r="K354" s="52" t="s">
        <v>473</v>
      </c>
      <c r="L354" s="65"/>
      <c r="M354" s="65"/>
      <c r="N354" s="96">
        <v>0</v>
      </c>
      <c r="O354" s="96"/>
      <c r="P354" s="96"/>
      <c r="Q354" s="96"/>
      <c r="R354" s="239"/>
    </row>
    <row r="355" spans="1:18" s="166" customFormat="1" ht="51.75" customHeight="1">
      <c r="A355" s="505" t="s">
        <v>842</v>
      </c>
      <c r="B355" s="80" t="s">
        <v>843</v>
      </c>
      <c r="C355" s="513" t="s">
        <v>240</v>
      </c>
      <c r="D355" s="513" t="s">
        <v>242</v>
      </c>
      <c r="E355" s="513" t="s">
        <v>241</v>
      </c>
      <c r="F355" s="531" t="s">
        <v>243</v>
      </c>
      <c r="G355" s="513" t="s">
        <v>244</v>
      </c>
      <c r="H355" s="591" t="s">
        <v>245</v>
      </c>
      <c r="I355" s="497" t="s">
        <v>246</v>
      </c>
      <c r="J355" s="497" t="s">
        <v>74</v>
      </c>
      <c r="K355" s="523" t="s">
        <v>247</v>
      </c>
      <c r="L355" s="80" t="s">
        <v>43</v>
      </c>
      <c r="M355" s="80" t="s">
        <v>32</v>
      </c>
      <c r="N355" s="35">
        <v>106.764</v>
      </c>
      <c r="O355" s="35">
        <v>105.095</v>
      </c>
      <c r="P355" s="35">
        <v>136.735</v>
      </c>
      <c r="Q355" s="35">
        <v>136.7</v>
      </c>
      <c r="R355" s="35">
        <v>136.7</v>
      </c>
    </row>
    <row r="356" spans="1:18" s="166" customFormat="1" ht="51.75" customHeight="1">
      <c r="A356" s="506"/>
      <c r="B356" s="85"/>
      <c r="C356" s="502"/>
      <c r="D356" s="502"/>
      <c r="E356" s="502"/>
      <c r="F356" s="532"/>
      <c r="G356" s="502"/>
      <c r="H356" s="504"/>
      <c r="I356" s="493"/>
      <c r="J356" s="493"/>
      <c r="K356" s="524"/>
      <c r="L356" s="80" t="s">
        <v>43</v>
      </c>
      <c r="M356" s="80" t="s">
        <v>36</v>
      </c>
      <c r="N356" s="35">
        <v>809.908</v>
      </c>
      <c r="O356" s="35">
        <v>792.142</v>
      </c>
      <c r="P356" s="35">
        <f>754.775</f>
        <v>754.775</v>
      </c>
      <c r="Q356" s="35">
        <v>754.775</v>
      </c>
      <c r="R356" s="35">
        <v>754.775</v>
      </c>
    </row>
    <row r="357" spans="1:18" s="166" customFormat="1" ht="51.75" customHeight="1">
      <c r="A357" s="507"/>
      <c r="B357" s="85"/>
      <c r="C357" s="164"/>
      <c r="D357" s="164"/>
      <c r="E357" s="164"/>
      <c r="F357" s="533"/>
      <c r="G357" s="164"/>
      <c r="H357" s="164"/>
      <c r="I357" s="164"/>
      <c r="J357" s="164"/>
      <c r="K357" s="193"/>
      <c r="L357" s="122" t="s">
        <v>43</v>
      </c>
      <c r="M357" s="122" t="s">
        <v>41</v>
      </c>
      <c r="N357" s="35">
        <v>83.328</v>
      </c>
      <c r="O357" s="35">
        <v>83.328</v>
      </c>
      <c r="P357" s="35">
        <v>46.49</v>
      </c>
      <c r="Q357" s="35">
        <v>46.49</v>
      </c>
      <c r="R357" s="35">
        <v>46.49</v>
      </c>
    </row>
    <row r="358" spans="1:18" s="166" customFormat="1" ht="155.25" customHeight="1" hidden="1">
      <c r="A358" s="84" t="s">
        <v>844</v>
      </c>
      <c r="B358" s="80" t="s">
        <v>845</v>
      </c>
      <c r="C358" s="43" t="s">
        <v>206</v>
      </c>
      <c r="D358" s="43" t="s">
        <v>248</v>
      </c>
      <c r="E358" s="43" t="s">
        <v>208</v>
      </c>
      <c r="F358" s="43" t="s">
        <v>249</v>
      </c>
      <c r="G358" s="43" t="s">
        <v>250</v>
      </c>
      <c r="H358" s="43" t="s">
        <v>251</v>
      </c>
      <c r="I358" s="43" t="s">
        <v>252</v>
      </c>
      <c r="J358" s="43" t="s">
        <v>92</v>
      </c>
      <c r="K358" s="43" t="s">
        <v>253</v>
      </c>
      <c r="L358" s="64" t="s">
        <v>23</v>
      </c>
      <c r="M358" s="64" t="s">
        <v>33</v>
      </c>
      <c r="N358" s="333">
        <v>0</v>
      </c>
      <c r="O358" s="333">
        <v>0</v>
      </c>
      <c r="P358" s="333">
        <v>0</v>
      </c>
      <c r="Q358" s="333">
        <v>0</v>
      </c>
      <c r="R358" s="236">
        <v>0</v>
      </c>
    </row>
    <row r="359" spans="1:18" s="166" customFormat="1" ht="60">
      <c r="A359" s="159" t="s">
        <v>844</v>
      </c>
      <c r="B359" s="64" t="s">
        <v>1290</v>
      </c>
      <c r="C359" s="440"/>
      <c r="D359" s="440"/>
      <c r="E359" s="440"/>
      <c r="F359" s="440"/>
      <c r="G359" s="440"/>
      <c r="H359" s="440"/>
      <c r="I359" s="440" t="s">
        <v>627</v>
      </c>
      <c r="J359" s="440" t="s">
        <v>70</v>
      </c>
      <c r="K359" s="440" t="s">
        <v>598</v>
      </c>
      <c r="L359" s="122" t="s">
        <v>23</v>
      </c>
      <c r="M359" s="122" t="s">
        <v>37</v>
      </c>
      <c r="N359" s="35">
        <v>0</v>
      </c>
      <c r="O359" s="35">
        <v>0</v>
      </c>
      <c r="P359" s="35">
        <v>238.286</v>
      </c>
      <c r="Q359" s="486">
        <v>1980</v>
      </c>
      <c r="R359" s="156">
        <v>1980</v>
      </c>
    </row>
    <row r="360" spans="1:18" s="166" customFormat="1" ht="276.75" customHeight="1">
      <c r="A360" s="505" t="s">
        <v>846</v>
      </c>
      <c r="B360" s="80" t="s">
        <v>847</v>
      </c>
      <c r="C360" s="444" t="s">
        <v>240</v>
      </c>
      <c r="D360" s="398" t="s">
        <v>260</v>
      </c>
      <c r="E360" s="398" t="s">
        <v>241</v>
      </c>
      <c r="F360" s="398" t="s">
        <v>261</v>
      </c>
      <c r="G360" s="398" t="s">
        <v>262</v>
      </c>
      <c r="H360" s="398" t="s">
        <v>83</v>
      </c>
      <c r="I360" s="251" t="s">
        <v>264</v>
      </c>
      <c r="J360" s="251" t="s">
        <v>70</v>
      </c>
      <c r="K360" s="252" t="s">
        <v>265</v>
      </c>
      <c r="L360" s="80" t="s">
        <v>43</v>
      </c>
      <c r="M360" s="80" t="s">
        <v>32</v>
      </c>
      <c r="N360" s="35">
        <v>0</v>
      </c>
      <c r="O360" s="35">
        <v>0</v>
      </c>
      <c r="P360" s="35">
        <v>0</v>
      </c>
      <c r="Q360" s="35">
        <v>0</v>
      </c>
      <c r="R360" s="86">
        <v>0</v>
      </c>
    </row>
    <row r="361" spans="1:18" s="166" customFormat="1" ht="156" customHeight="1">
      <c r="A361" s="506"/>
      <c r="B361" s="95" t="s">
        <v>480</v>
      </c>
      <c r="C361" s="42" t="s">
        <v>266</v>
      </c>
      <c r="D361" s="27" t="s">
        <v>262</v>
      </c>
      <c r="E361" s="27" t="s">
        <v>267</v>
      </c>
      <c r="F361" s="27" t="s">
        <v>256</v>
      </c>
      <c r="G361" s="27" t="s">
        <v>268</v>
      </c>
      <c r="H361" s="28" t="s">
        <v>269</v>
      </c>
      <c r="I361" s="27" t="s">
        <v>1121</v>
      </c>
      <c r="J361" s="27" t="s">
        <v>270</v>
      </c>
      <c r="K361" s="445" t="s">
        <v>271</v>
      </c>
      <c r="L361" s="80" t="s">
        <v>43</v>
      </c>
      <c r="M361" s="80" t="s">
        <v>36</v>
      </c>
      <c r="N361" s="35">
        <v>770.73</v>
      </c>
      <c r="O361" s="35">
        <v>767.456</v>
      </c>
      <c r="P361" s="35">
        <v>2524.7</v>
      </c>
      <c r="Q361" s="35">
        <v>2524.7</v>
      </c>
      <c r="R361" s="35">
        <v>2524.7</v>
      </c>
    </row>
    <row r="362" spans="1:18" s="166" customFormat="1" ht="157.5" customHeight="1">
      <c r="A362" s="507"/>
      <c r="B362" s="95" t="s">
        <v>481</v>
      </c>
      <c r="C362" s="422" t="s">
        <v>254</v>
      </c>
      <c r="D362" s="393" t="s">
        <v>202</v>
      </c>
      <c r="E362" s="393" t="s">
        <v>255</v>
      </c>
      <c r="F362" s="393" t="s">
        <v>256</v>
      </c>
      <c r="G362" s="393" t="s">
        <v>257</v>
      </c>
      <c r="H362" s="393" t="s">
        <v>232</v>
      </c>
      <c r="I362" s="393" t="s">
        <v>438</v>
      </c>
      <c r="J362" s="438" t="s">
        <v>258</v>
      </c>
      <c r="K362" s="439" t="s">
        <v>259</v>
      </c>
      <c r="L362" s="80" t="s">
        <v>23</v>
      </c>
      <c r="M362" s="80" t="s">
        <v>37</v>
      </c>
      <c r="N362" s="35">
        <f>24647.9+12636</f>
        <v>37283.9</v>
      </c>
      <c r="O362" s="35">
        <f>24343.694+12139.244</f>
        <v>36482.938</v>
      </c>
      <c r="P362" s="35">
        <f>14196+70+33443.5+84</f>
        <v>47793.5</v>
      </c>
      <c r="Q362" s="35">
        <f>14196+70</f>
        <v>14266</v>
      </c>
      <c r="R362" s="35">
        <f>14196+70</f>
        <v>14266</v>
      </c>
    </row>
    <row r="363" spans="1:18" s="166" customFormat="1" ht="192.75" customHeight="1">
      <c r="A363" s="84" t="s">
        <v>849</v>
      </c>
      <c r="B363" s="80" t="s">
        <v>848</v>
      </c>
      <c r="C363" s="58" t="s">
        <v>300</v>
      </c>
      <c r="D363" s="58" t="s">
        <v>301</v>
      </c>
      <c r="E363" s="58" t="s">
        <v>302</v>
      </c>
      <c r="F363" s="58" t="s">
        <v>303</v>
      </c>
      <c r="G363" s="58" t="s">
        <v>276</v>
      </c>
      <c r="H363" s="58" t="s">
        <v>304</v>
      </c>
      <c r="I363" s="253" t="s">
        <v>305</v>
      </c>
      <c r="J363" s="253" t="s">
        <v>70</v>
      </c>
      <c r="K363" s="254" t="s">
        <v>306</v>
      </c>
      <c r="L363" s="80" t="s">
        <v>37</v>
      </c>
      <c r="M363" s="80" t="s">
        <v>35</v>
      </c>
      <c r="N363" s="35">
        <v>636.2</v>
      </c>
      <c r="O363" s="35">
        <v>635.95</v>
      </c>
      <c r="P363" s="35">
        <v>636.2</v>
      </c>
      <c r="Q363" s="35">
        <v>636.2</v>
      </c>
      <c r="R363" s="35">
        <v>636.2</v>
      </c>
    </row>
    <row r="364" spans="1:18" s="166" customFormat="1" ht="36.75" customHeight="1">
      <c r="A364" s="505" t="s">
        <v>1287</v>
      </c>
      <c r="B364" s="361" t="s">
        <v>1289</v>
      </c>
      <c r="C364" s="496" t="s">
        <v>240</v>
      </c>
      <c r="D364" s="496" t="s">
        <v>260</v>
      </c>
      <c r="E364" s="496" t="s">
        <v>241</v>
      </c>
      <c r="F364" s="496" t="s">
        <v>261</v>
      </c>
      <c r="G364" s="496" t="s">
        <v>262</v>
      </c>
      <c r="H364" s="496" t="s">
        <v>263</v>
      </c>
      <c r="I364" s="515" t="s">
        <v>264</v>
      </c>
      <c r="J364" s="515" t="s">
        <v>70</v>
      </c>
      <c r="K364" s="522" t="s">
        <v>265</v>
      </c>
      <c r="L364" s="357" t="s">
        <v>43</v>
      </c>
      <c r="M364" s="321" t="s">
        <v>32</v>
      </c>
      <c r="N364" s="333">
        <v>1382.76</v>
      </c>
      <c r="O364" s="333">
        <v>449.3</v>
      </c>
      <c r="P364" s="333">
        <v>434.5</v>
      </c>
      <c r="Q364" s="333">
        <v>529.3</v>
      </c>
      <c r="R364" s="333">
        <v>529.3</v>
      </c>
    </row>
    <row r="365" spans="1:18" s="166" customFormat="1" ht="23.25" customHeight="1">
      <c r="A365" s="506"/>
      <c r="B365" s="480" t="s">
        <v>1288</v>
      </c>
      <c r="C365" s="496"/>
      <c r="D365" s="496"/>
      <c r="E365" s="496"/>
      <c r="F365" s="496"/>
      <c r="G365" s="496"/>
      <c r="H365" s="496"/>
      <c r="I365" s="515"/>
      <c r="J365" s="515"/>
      <c r="K365" s="522"/>
      <c r="L365" s="121" t="s">
        <v>43</v>
      </c>
      <c r="M365" s="122" t="s">
        <v>32</v>
      </c>
      <c r="N365" s="35"/>
      <c r="O365" s="35"/>
      <c r="P365" s="35">
        <v>529.3</v>
      </c>
      <c r="Q365" s="35"/>
      <c r="R365" s="35"/>
    </row>
    <row r="366" spans="1:18" s="166" customFormat="1" ht="265.5" customHeight="1">
      <c r="A366" s="507"/>
      <c r="B366" s="362"/>
      <c r="C366" s="496"/>
      <c r="D366" s="496"/>
      <c r="E366" s="496"/>
      <c r="F366" s="496"/>
      <c r="G366" s="496"/>
      <c r="H366" s="496"/>
      <c r="I366" s="515"/>
      <c r="J366" s="515"/>
      <c r="K366" s="522"/>
      <c r="L366" s="121" t="s">
        <v>43</v>
      </c>
      <c r="M366" s="122" t="s">
        <v>36</v>
      </c>
      <c r="N366" s="35">
        <f>13992.74</f>
        <v>13992.74</v>
      </c>
      <c r="O366" s="35">
        <v>11125.265</v>
      </c>
      <c r="P366" s="35">
        <v>13221</v>
      </c>
      <c r="Q366" s="35">
        <v>13221</v>
      </c>
      <c r="R366" s="35">
        <v>13221</v>
      </c>
    </row>
    <row r="367" spans="1:18" s="167" customFormat="1" ht="60">
      <c r="A367" s="66" t="s">
        <v>850</v>
      </c>
      <c r="B367" s="67">
        <v>2000</v>
      </c>
      <c r="C367" s="358"/>
      <c r="D367" s="358"/>
      <c r="E367" s="359"/>
      <c r="F367" s="358"/>
      <c r="G367" s="358"/>
      <c r="H367" s="358"/>
      <c r="I367" s="358"/>
      <c r="J367" s="360"/>
      <c r="K367" s="360"/>
      <c r="L367" s="67"/>
      <c r="M367" s="67"/>
      <c r="N367" s="68">
        <f>SUM(N368:N369)</f>
        <v>588565.5</v>
      </c>
      <c r="O367" s="68">
        <f>SUM(O368:O369)</f>
        <v>588556.603</v>
      </c>
      <c r="P367" s="68">
        <f>SUM(P368:P369)</f>
        <v>604564.1</v>
      </c>
      <c r="Q367" s="68">
        <f>SUM(Q368:Q369)</f>
        <v>599505.5</v>
      </c>
      <c r="R367" s="68">
        <f>SUM(R368:R369)</f>
        <v>599505.5</v>
      </c>
    </row>
    <row r="368" spans="1:18" s="166" customFormat="1" ht="300.75" customHeight="1">
      <c r="A368" s="505" t="s">
        <v>851</v>
      </c>
      <c r="B368" s="361" t="s">
        <v>913</v>
      </c>
      <c r="C368" s="18" t="s">
        <v>240</v>
      </c>
      <c r="D368" s="18" t="s">
        <v>207</v>
      </c>
      <c r="E368" s="18" t="s">
        <v>241</v>
      </c>
      <c r="F368" s="18" t="s">
        <v>314</v>
      </c>
      <c r="G368" s="18" t="s">
        <v>262</v>
      </c>
      <c r="H368" s="18" t="s">
        <v>315</v>
      </c>
      <c r="I368" s="22" t="s">
        <v>316</v>
      </c>
      <c r="J368" s="22" t="s">
        <v>70</v>
      </c>
      <c r="K368" s="446" t="s">
        <v>317</v>
      </c>
      <c r="L368" s="328" t="s">
        <v>43</v>
      </c>
      <c r="M368" s="122" t="s">
        <v>32</v>
      </c>
      <c r="N368" s="35">
        <f>434.5+107203.5</f>
        <v>107638</v>
      </c>
      <c r="O368" s="35">
        <f>434.5+107203.5</f>
        <v>107638</v>
      </c>
      <c r="P368" s="35">
        <v>109488.6</v>
      </c>
      <c r="Q368" s="35">
        <f>434.5+107815.8</f>
        <v>108250.3</v>
      </c>
      <c r="R368" s="35">
        <f>434.5+107815.8</f>
        <v>108250.3</v>
      </c>
    </row>
    <row r="369" spans="1:18" s="166" customFormat="1" ht="229.5" customHeight="1">
      <c r="A369" s="506"/>
      <c r="B369" s="309" t="s">
        <v>1344</v>
      </c>
      <c r="C369" s="502"/>
      <c r="D369" s="502"/>
      <c r="E369" s="502"/>
      <c r="F369" s="27" t="s">
        <v>1187</v>
      </c>
      <c r="G369" s="27" t="s">
        <v>70</v>
      </c>
      <c r="H369" s="27" t="s">
        <v>1186</v>
      </c>
      <c r="I369" s="27" t="s">
        <v>1343</v>
      </c>
      <c r="J369" s="27" t="s">
        <v>70</v>
      </c>
      <c r="K369" s="28" t="s">
        <v>1255</v>
      </c>
      <c r="L369" s="115" t="s">
        <v>43</v>
      </c>
      <c r="M369" s="95" t="s">
        <v>36</v>
      </c>
      <c r="N369" s="86">
        <f>441386.053+39540.4+1.047</f>
        <v>480927.50000000006</v>
      </c>
      <c r="O369" s="86">
        <f>441377.171+39540.385+1.047</f>
        <v>480918.603</v>
      </c>
      <c r="P369" s="86">
        <f>453968.418+41098.2+8.882</f>
        <v>495075.5</v>
      </c>
      <c r="Q369" s="86">
        <f>41098.2+8.882+450148.118</f>
        <v>491255.2</v>
      </c>
      <c r="R369" s="86">
        <f>41098.2+8.882+450148.118</f>
        <v>491255.2</v>
      </c>
    </row>
    <row r="370" spans="1:18" s="166" customFormat="1" ht="134.25" customHeight="1">
      <c r="A370" s="506"/>
      <c r="B370" s="309"/>
      <c r="C370" s="502"/>
      <c r="D370" s="502"/>
      <c r="E370" s="502"/>
      <c r="F370" s="589" t="s">
        <v>1188</v>
      </c>
      <c r="G370" s="592" t="s">
        <v>70</v>
      </c>
      <c r="H370" s="592" t="s">
        <v>1189</v>
      </c>
      <c r="I370" s="27" t="s">
        <v>1190</v>
      </c>
      <c r="J370" s="27" t="s">
        <v>70</v>
      </c>
      <c r="K370" s="28" t="s">
        <v>396</v>
      </c>
      <c r="L370" s="115"/>
      <c r="M370" s="95"/>
      <c r="N370" s="86"/>
      <c r="O370" s="86"/>
      <c r="P370" s="86"/>
      <c r="Q370" s="86"/>
      <c r="R370" s="86"/>
    </row>
    <row r="371" spans="1:18" s="166" customFormat="1" ht="191.25" customHeight="1">
      <c r="A371" s="507"/>
      <c r="B371" s="362"/>
      <c r="C371" s="503"/>
      <c r="D371" s="503"/>
      <c r="E371" s="503"/>
      <c r="F371" s="598"/>
      <c r="G371" s="593"/>
      <c r="H371" s="593"/>
      <c r="I371" s="102" t="s">
        <v>1254</v>
      </c>
      <c r="J371" s="102" t="s">
        <v>70</v>
      </c>
      <c r="K371" s="102" t="s">
        <v>1255</v>
      </c>
      <c r="L371" s="116"/>
      <c r="M371" s="117"/>
      <c r="N371" s="96"/>
      <c r="O371" s="96"/>
      <c r="P371" s="96"/>
      <c r="Q371" s="96"/>
      <c r="R371" s="96"/>
    </row>
    <row r="372" spans="1:18" s="167" customFormat="1" ht="96.75" customHeight="1">
      <c r="A372" s="66" t="s">
        <v>852</v>
      </c>
      <c r="B372" s="67">
        <v>2100</v>
      </c>
      <c r="C372" s="67" t="s">
        <v>29</v>
      </c>
      <c r="D372" s="67" t="s">
        <v>29</v>
      </c>
      <c r="E372" s="67" t="s">
        <v>29</v>
      </c>
      <c r="F372" s="67" t="s">
        <v>29</v>
      </c>
      <c r="G372" s="67" t="s">
        <v>29</v>
      </c>
      <c r="H372" s="67" t="s">
        <v>29</v>
      </c>
      <c r="I372" s="67" t="s">
        <v>29</v>
      </c>
      <c r="J372" s="67" t="s">
        <v>29</v>
      </c>
      <c r="K372" s="67" t="s">
        <v>29</v>
      </c>
      <c r="L372" s="67"/>
      <c r="M372" s="67"/>
      <c r="N372" s="68">
        <f>N373+N377+N381</f>
        <v>385270.78800000006</v>
      </c>
      <c r="O372" s="68">
        <f>O373+O377+O381</f>
        <v>311490.88399999996</v>
      </c>
      <c r="P372" s="68">
        <f>P373+P377+P381</f>
        <v>343360.99439999997</v>
      </c>
      <c r="Q372" s="68">
        <f>Q373+Q377+Q381</f>
        <v>187772.80000000002</v>
      </c>
      <c r="R372" s="68">
        <f>R373+R377+R381</f>
        <v>188590.90000000002</v>
      </c>
    </row>
    <row r="373" spans="1:18" s="167" customFormat="1" ht="36">
      <c r="A373" s="125" t="s">
        <v>853</v>
      </c>
      <c r="B373" s="146">
        <v>2101</v>
      </c>
      <c r="C373" s="146"/>
      <c r="D373" s="146"/>
      <c r="E373" s="146"/>
      <c r="F373" s="146"/>
      <c r="G373" s="146"/>
      <c r="H373" s="146"/>
      <c r="I373" s="146"/>
      <c r="J373" s="146"/>
      <c r="K373" s="146"/>
      <c r="L373" s="146"/>
      <c r="M373" s="146"/>
      <c r="N373" s="147">
        <f>SUM(N375:N376)</f>
        <v>56343.35</v>
      </c>
      <c r="O373" s="147">
        <f>SUM(O375:O376)</f>
        <v>56343.35</v>
      </c>
      <c r="P373" s="147">
        <f>SUM(P375:P376)</f>
        <v>56343.4</v>
      </c>
      <c r="Q373" s="147">
        <f>SUM(Q375:Q376)</f>
        <v>61142.200000000004</v>
      </c>
      <c r="R373" s="147">
        <f>SUM(R375:R376)</f>
        <v>62030.200000000004</v>
      </c>
    </row>
    <row r="374" spans="1:18" s="167" customFormat="1" ht="12">
      <c r="A374" s="110" t="s">
        <v>100</v>
      </c>
      <c r="B374" s="83"/>
      <c r="C374" s="83"/>
      <c r="D374" s="83"/>
      <c r="E374" s="83"/>
      <c r="F374" s="83"/>
      <c r="G374" s="83"/>
      <c r="H374" s="83"/>
      <c r="I374" s="83"/>
      <c r="J374" s="83"/>
      <c r="K374" s="83"/>
      <c r="L374" s="83"/>
      <c r="M374" s="83"/>
      <c r="N374" s="148"/>
      <c r="O374" s="148"/>
      <c r="P374" s="148"/>
      <c r="Q374" s="148"/>
      <c r="R374" s="148"/>
    </row>
    <row r="375" spans="1:18" s="166" customFormat="1" ht="119.25" customHeight="1">
      <c r="A375" s="75"/>
      <c r="B375" s="95" t="s">
        <v>638</v>
      </c>
      <c r="C375" s="46" t="s">
        <v>57</v>
      </c>
      <c r="D375" s="45" t="s">
        <v>326</v>
      </c>
      <c r="E375" s="46" t="s">
        <v>58</v>
      </c>
      <c r="F375" s="46" t="s">
        <v>236</v>
      </c>
      <c r="G375" s="46" t="s">
        <v>237</v>
      </c>
      <c r="H375" s="46" t="s">
        <v>232</v>
      </c>
      <c r="I375" s="46" t="s">
        <v>238</v>
      </c>
      <c r="J375" s="47" t="s">
        <v>72</v>
      </c>
      <c r="K375" s="47" t="s">
        <v>239</v>
      </c>
      <c r="L375" s="85" t="s">
        <v>27</v>
      </c>
      <c r="M375" s="85" t="s">
        <v>32</v>
      </c>
      <c r="N375" s="86">
        <v>56343.35</v>
      </c>
      <c r="O375" s="86">
        <f>56343.35</f>
        <v>56343.35</v>
      </c>
      <c r="P375" s="86">
        <v>56343.4</v>
      </c>
      <c r="Q375" s="86">
        <f>48916.8+12225.4</f>
        <v>61142.200000000004</v>
      </c>
      <c r="R375" s="237">
        <f>49804.8+12225.4</f>
        <v>62030.200000000004</v>
      </c>
    </row>
    <row r="376" spans="1:18" s="166" customFormat="1" ht="48">
      <c r="A376" s="75"/>
      <c r="B376" s="85"/>
      <c r="C376" s="45"/>
      <c r="D376" s="45"/>
      <c r="E376" s="45"/>
      <c r="F376" s="45" t="s">
        <v>1180</v>
      </c>
      <c r="G376" s="45" t="s">
        <v>327</v>
      </c>
      <c r="H376" s="45" t="s">
        <v>64</v>
      </c>
      <c r="I376" s="45" t="s">
        <v>328</v>
      </c>
      <c r="J376" s="45" t="s">
        <v>216</v>
      </c>
      <c r="K376" s="45" t="s">
        <v>329</v>
      </c>
      <c r="L376" s="65"/>
      <c r="M376" s="65"/>
      <c r="N376" s="96"/>
      <c r="O376" s="96"/>
      <c r="P376" s="96"/>
      <c r="Q376" s="96"/>
      <c r="R376" s="239"/>
    </row>
    <row r="377" spans="1:18" s="167" customFormat="1" ht="144">
      <c r="A377" s="66" t="s">
        <v>854</v>
      </c>
      <c r="B377" s="67">
        <v>2103</v>
      </c>
      <c r="C377" s="67" t="s">
        <v>29</v>
      </c>
      <c r="D377" s="67" t="s">
        <v>29</v>
      </c>
      <c r="E377" s="67" t="s">
        <v>29</v>
      </c>
      <c r="F377" s="67" t="s">
        <v>29</v>
      </c>
      <c r="G377" s="67" t="s">
        <v>29</v>
      </c>
      <c r="H377" s="67" t="s">
        <v>29</v>
      </c>
      <c r="I377" s="67" t="s">
        <v>29</v>
      </c>
      <c r="J377" s="67" t="s">
        <v>29</v>
      </c>
      <c r="K377" s="67" t="s">
        <v>29</v>
      </c>
      <c r="L377" s="67"/>
      <c r="M377" s="67"/>
      <c r="N377" s="68">
        <f>SUM(N378:N379)</f>
        <v>9060.8</v>
      </c>
      <c r="O377" s="68">
        <f>SUM(O378:O379)</f>
        <v>9060.8</v>
      </c>
      <c r="P377" s="68">
        <f>SUM(P378:P379)</f>
        <v>10904.814</v>
      </c>
      <c r="Q377" s="68">
        <f>SUM(Q378:Q379)</f>
        <v>42808.5</v>
      </c>
      <c r="R377" s="68">
        <f>SUM(R378:R379)</f>
        <v>42738.6</v>
      </c>
    </row>
    <row r="378" spans="1:18" s="166" customFormat="1" ht="144">
      <c r="A378" s="84" t="s">
        <v>855</v>
      </c>
      <c r="B378" s="80" t="s">
        <v>856</v>
      </c>
      <c r="C378" s="258" t="s">
        <v>330</v>
      </c>
      <c r="D378" s="258" t="s">
        <v>331</v>
      </c>
      <c r="E378" s="258" t="s">
        <v>332</v>
      </c>
      <c r="F378" s="258" t="s">
        <v>333</v>
      </c>
      <c r="G378" s="258" t="s">
        <v>135</v>
      </c>
      <c r="H378" s="258" t="s">
        <v>64</v>
      </c>
      <c r="I378" s="84" t="s">
        <v>31</v>
      </c>
      <c r="J378" s="84" t="s">
        <v>31</v>
      </c>
      <c r="K378" s="84" t="s">
        <v>31</v>
      </c>
      <c r="L378" s="80" t="s">
        <v>36</v>
      </c>
      <c r="M378" s="80" t="s">
        <v>41</v>
      </c>
      <c r="N378" s="84">
        <v>1201.1</v>
      </c>
      <c r="O378" s="35">
        <v>1201.1</v>
      </c>
      <c r="P378" s="465">
        <v>1237.5</v>
      </c>
      <c r="Q378" s="465">
        <v>1344.4</v>
      </c>
      <c r="R378" s="466">
        <v>1274.5</v>
      </c>
    </row>
    <row r="379" spans="1:18" s="166" customFormat="1" ht="60" customHeight="1">
      <c r="A379" s="84" t="s">
        <v>857</v>
      </c>
      <c r="B379" s="80" t="s">
        <v>911</v>
      </c>
      <c r="C379" s="497" t="s">
        <v>206</v>
      </c>
      <c r="D379" s="497" t="s">
        <v>248</v>
      </c>
      <c r="E379" s="497" t="s">
        <v>208</v>
      </c>
      <c r="F379" s="497" t="s">
        <v>249</v>
      </c>
      <c r="G379" s="497" t="s">
        <v>250</v>
      </c>
      <c r="H379" s="596" t="s">
        <v>251</v>
      </c>
      <c r="I379" s="513" t="s">
        <v>627</v>
      </c>
      <c r="J379" s="513" t="s">
        <v>70</v>
      </c>
      <c r="K379" s="513" t="s">
        <v>598</v>
      </c>
      <c r="L379" s="112" t="s">
        <v>23</v>
      </c>
      <c r="M379" s="112" t="s">
        <v>37</v>
      </c>
      <c r="N379" s="363">
        <f>5471.146+406.054+1982.5</f>
        <v>7859.7</v>
      </c>
      <c r="O379" s="363">
        <f>5471.146+406.054+1982.5</f>
        <v>7859.7</v>
      </c>
      <c r="P379" s="363">
        <f>7281.772+405.542+1980</f>
        <v>9667.314</v>
      </c>
      <c r="Q379" s="363">
        <v>41464.1</v>
      </c>
      <c r="R379" s="363">
        <v>41464.1</v>
      </c>
    </row>
    <row r="380" spans="1:18" s="166" customFormat="1" ht="96" customHeight="1">
      <c r="A380" s="78"/>
      <c r="B380" s="65"/>
      <c r="C380" s="498"/>
      <c r="D380" s="498"/>
      <c r="E380" s="498"/>
      <c r="F380" s="498"/>
      <c r="G380" s="498"/>
      <c r="H380" s="597"/>
      <c r="I380" s="503"/>
      <c r="J380" s="503"/>
      <c r="K380" s="503"/>
      <c r="L380" s="89"/>
      <c r="M380" s="89"/>
      <c r="N380" s="114"/>
      <c r="O380" s="114"/>
      <c r="P380" s="114"/>
      <c r="Q380" s="114"/>
      <c r="R380" s="114"/>
    </row>
    <row r="381" spans="1:18" s="167" customFormat="1" ht="24" customHeight="1">
      <c r="A381" s="66" t="s">
        <v>858</v>
      </c>
      <c r="B381" s="67">
        <v>2200</v>
      </c>
      <c r="C381" s="67" t="s">
        <v>29</v>
      </c>
      <c r="D381" s="67" t="s">
        <v>29</v>
      </c>
      <c r="E381" s="67" t="s">
        <v>29</v>
      </c>
      <c r="F381" s="67" t="s">
        <v>29</v>
      </c>
      <c r="G381" s="67" t="s">
        <v>29</v>
      </c>
      <c r="H381" s="67" t="s">
        <v>29</v>
      </c>
      <c r="I381" s="67" t="s">
        <v>29</v>
      </c>
      <c r="J381" s="67" t="s">
        <v>29</v>
      </c>
      <c r="K381" s="67" t="s">
        <v>29</v>
      </c>
      <c r="L381" s="91"/>
      <c r="M381" s="91"/>
      <c r="N381" s="92">
        <f>N382</f>
        <v>319866.63800000004</v>
      </c>
      <c r="O381" s="92">
        <f>O382</f>
        <v>246086.734</v>
      </c>
      <c r="P381" s="92">
        <f>P382</f>
        <v>276112.7804</v>
      </c>
      <c r="Q381" s="92">
        <f>Q382</f>
        <v>83822.1</v>
      </c>
      <c r="R381" s="92">
        <f>R382</f>
        <v>83822.1</v>
      </c>
    </row>
    <row r="382" spans="1:18" s="167" customFormat="1" ht="36" customHeight="1">
      <c r="A382" s="66" t="s">
        <v>859</v>
      </c>
      <c r="B382" s="67">
        <v>2300</v>
      </c>
      <c r="C382" s="67" t="s">
        <v>29</v>
      </c>
      <c r="D382" s="67" t="s">
        <v>29</v>
      </c>
      <c r="E382" s="67" t="s">
        <v>29</v>
      </c>
      <c r="F382" s="67" t="s">
        <v>29</v>
      </c>
      <c r="G382" s="67" t="s">
        <v>29</v>
      </c>
      <c r="H382" s="67" t="s">
        <v>29</v>
      </c>
      <c r="I382" s="67" t="s">
        <v>29</v>
      </c>
      <c r="J382" s="67" t="s">
        <v>29</v>
      </c>
      <c r="K382" s="67" t="s">
        <v>29</v>
      </c>
      <c r="L382" s="67"/>
      <c r="M382" s="67"/>
      <c r="N382" s="68">
        <f>N383+N392+N425+N435+N438+N441+N444+N447+N449+N459+N461+N477+N478+N500+N502+N505+N506+N507+N508+N510</f>
        <v>319866.63800000004</v>
      </c>
      <c r="O382" s="68">
        <f>O383+O392+O425+O435+O438+O441+O444+O447+O449+O459+O461+O477+O478+O500+O502+O505+O506+O507+O508+O510</f>
        <v>246086.734</v>
      </c>
      <c r="P382" s="68">
        <f>P383+P392+P425+P435+P438+P441+P444+P447+P449+P458+P459+P461+P477+P478+P500+P502+P504+P505+P506+P507+P508+P510</f>
        <v>276112.7804</v>
      </c>
      <c r="Q382" s="68">
        <f>Q383+Q392+Q425+Q435+Q438+Q441+Q444+Q447+Q449+Q459+Q461+Q477+Q478+Q500+Q502+Q505+Q506+Q507+Q508+Q510</f>
        <v>83822.1</v>
      </c>
      <c r="R382" s="68">
        <f>R383+R392+R425+R435+R438+R441+R444+R447+R449+R459+R461+R477+R478+R500+R502+R505+R506+R507+R508+R510</f>
        <v>83822.1</v>
      </c>
    </row>
    <row r="383" spans="1:18" s="167" customFormat="1" ht="46.5" customHeight="1">
      <c r="A383" s="66" t="s">
        <v>860</v>
      </c>
      <c r="B383" s="67">
        <v>2301</v>
      </c>
      <c r="C383" s="66" t="s">
        <v>31</v>
      </c>
      <c r="D383" s="66" t="s">
        <v>31</v>
      </c>
      <c r="E383" s="66" t="s">
        <v>31</v>
      </c>
      <c r="F383" s="66" t="s">
        <v>31</v>
      </c>
      <c r="G383" s="66" t="s">
        <v>31</v>
      </c>
      <c r="H383" s="66" t="s">
        <v>31</v>
      </c>
      <c r="I383" s="48"/>
      <c r="J383" s="48"/>
      <c r="K383" s="49"/>
      <c r="L383" s="67"/>
      <c r="M383" s="67"/>
      <c r="N383" s="68">
        <f>SUM(N384:N391)</f>
        <v>343.88</v>
      </c>
      <c r="O383" s="68">
        <f>SUM(O384:O391)</f>
        <v>268.88</v>
      </c>
      <c r="P383" s="68">
        <f>SUM(P384:P391)</f>
        <v>500</v>
      </c>
      <c r="Q383" s="68">
        <f>SUM(Q384:Q391)</f>
        <v>0</v>
      </c>
      <c r="R383" s="68">
        <f>SUM(R384:R391)</f>
        <v>0</v>
      </c>
    </row>
    <row r="384" spans="1:18" s="166" customFormat="1" ht="48">
      <c r="A384" s="149" t="s">
        <v>948</v>
      </c>
      <c r="B384" s="151" t="s">
        <v>519</v>
      </c>
      <c r="C384" s="149"/>
      <c r="D384" s="149"/>
      <c r="E384" s="149"/>
      <c r="F384" s="149"/>
      <c r="G384" s="149"/>
      <c r="H384" s="149"/>
      <c r="I384" s="253" t="s">
        <v>950</v>
      </c>
      <c r="J384" s="253" t="s">
        <v>70</v>
      </c>
      <c r="K384" s="254" t="s">
        <v>951</v>
      </c>
      <c r="L384" s="151" t="s">
        <v>32</v>
      </c>
      <c r="M384" s="151" t="s">
        <v>37</v>
      </c>
      <c r="N384" s="364">
        <v>60</v>
      </c>
      <c r="O384" s="364">
        <v>60</v>
      </c>
      <c r="P384" s="364">
        <v>0</v>
      </c>
      <c r="Q384" s="364">
        <v>0</v>
      </c>
      <c r="R384" s="364">
        <v>0</v>
      </c>
    </row>
    <row r="385" spans="1:18" s="166" customFormat="1" ht="62.25" customHeight="1">
      <c r="A385" s="87" t="s">
        <v>949</v>
      </c>
      <c r="B385" s="88" t="s">
        <v>486</v>
      </c>
      <c r="C385" s="87"/>
      <c r="D385" s="87"/>
      <c r="E385" s="87"/>
      <c r="F385" s="87"/>
      <c r="G385" s="87"/>
      <c r="H385" s="87"/>
      <c r="I385" s="23" t="s">
        <v>619</v>
      </c>
      <c r="J385" s="23" t="s">
        <v>70</v>
      </c>
      <c r="K385" s="26" t="s">
        <v>620</v>
      </c>
      <c r="L385" s="88" t="s">
        <v>32</v>
      </c>
      <c r="M385" s="88" t="s">
        <v>26</v>
      </c>
      <c r="N385" s="137">
        <v>75</v>
      </c>
      <c r="O385" s="137">
        <v>0</v>
      </c>
      <c r="P385" s="137">
        <v>0</v>
      </c>
      <c r="Q385" s="137">
        <v>0</v>
      </c>
      <c r="R385" s="137">
        <v>0</v>
      </c>
    </row>
    <row r="386" spans="1:18" s="166" customFormat="1" ht="60">
      <c r="A386" s="149" t="s">
        <v>954</v>
      </c>
      <c r="B386" s="151" t="s">
        <v>518</v>
      </c>
      <c r="C386" s="149"/>
      <c r="D386" s="149"/>
      <c r="E386" s="149"/>
      <c r="F386" s="149"/>
      <c r="G386" s="149"/>
      <c r="H386" s="149"/>
      <c r="I386" s="253" t="s">
        <v>667</v>
      </c>
      <c r="J386" s="253" t="s">
        <v>70</v>
      </c>
      <c r="K386" s="254" t="s">
        <v>668</v>
      </c>
      <c r="L386" s="151" t="s">
        <v>32</v>
      </c>
      <c r="M386" s="151" t="s">
        <v>26</v>
      </c>
      <c r="N386" s="364">
        <v>199.98</v>
      </c>
      <c r="O386" s="364">
        <v>199.98</v>
      </c>
      <c r="P386" s="161">
        <v>0</v>
      </c>
      <c r="Q386" s="364">
        <v>0</v>
      </c>
      <c r="R386" s="364">
        <v>0</v>
      </c>
    </row>
    <row r="387" spans="1:18" s="166" customFormat="1" ht="59.25" customHeight="1">
      <c r="A387" s="149" t="s">
        <v>955</v>
      </c>
      <c r="B387" s="151" t="s">
        <v>538</v>
      </c>
      <c r="C387" s="149"/>
      <c r="D387" s="149"/>
      <c r="E387" s="149"/>
      <c r="F387" s="149"/>
      <c r="G387" s="149"/>
      <c r="H387" s="149"/>
      <c r="I387" s="253" t="s">
        <v>952</v>
      </c>
      <c r="J387" s="253" t="s">
        <v>70</v>
      </c>
      <c r="K387" s="254" t="s">
        <v>953</v>
      </c>
      <c r="L387" s="151" t="s">
        <v>32</v>
      </c>
      <c r="M387" s="151" t="s">
        <v>26</v>
      </c>
      <c r="N387" s="364">
        <v>8.9</v>
      </c>
      <c r="O387" s="364">
        <v>8.9</v>
      </c>
      <c r="P387" s="161">
        <v>0</v>
      </c>
      <c r="Q387" s="364">
        <v>0</v>
      </c>
      <c r="R387" s="364">
        <v>0</v>
      </c>
    </row>
    <row r="388" spans="1:18" s="166" customFormat="1" ht="60">
      <c r="A388" s="87" t="s">
        <v>1192</v>
      </c>
      <c r="B388" s="151" t="s">
        <v>1191</v>
      </c>
      <c r="C388" s="149"/>
      <c r="D388" s="149"/>
      <c r="E388" s="149"/>
      <c r="F388" s="149"/>
      <c r="G388" s="149"/>
      <c r="H388" s="149"/>
      <c r="I388" s="253" t="s">
        <v>1228</v>
      </c>
      <c r="J388" s="253" t="s">
        <v>70</v>
      </c>
      <c r="K388" s="254" t="s">
        <v>1227</v>
      </c>
      <c r="L388" s="151" t="s">
        <v>32</v>
      </c>
      <c r="M388" s="151" t="s">
        <v>26</v>
      </c>
      <c r="N388" s="364">
        <v>0</v>
      </c>
      <c r="O388" s="364">
        <v>0</v>
      </c>
      <c r="P388" s="161">
        <v>50</v>
      </c>
      <c r="Q388" s="364">
        <v>0</v>
      </c>
      <c r="R388" s="364">
        <v>0</v>
      </c>
    </row>
    <row r="389" spans="1:18" s="166" customFormat="1" ht="35.25" customHeight="1">
      <c r="A389" s="149" t="s">
        <v>1193</v>
      </c>
      <c r="B389" s="151" t="s">
        <v>486</v>
      </c>
      <c r="C389" s="149"/>
      <c r="D389" s="149"/>
      <c r="E389" s="149"/>
      <c r="F389" s="149"/>
      <c r="G389" s="149"/>
      <c r="H389" s="149"/>
      <c r="I389" s="253" t="s">
        <v>1232</v>
      </c>
      <c r="J389" s="253" t="s">
        <v>70</v>
      </c>
      <c r="K389" s="254" t="s">
        <v>1227</v>
      </c>
      <c r="L389" s="151" t="s">
        <v>32</v>
      </c>
      <c r="M389" s="151" t="s">
        <v>26</v>
      </c>
      <c r="N389" s="364">
        <v>0</v>
      </c>
      <c r="O389" s="364">
        <v>0</v>
      </c>
      <c r="P389" s="161">
        <v>345</v>
      </c>
      <c r="Q389" s="364">
        <v>0</v>
      </c>
      <c r="R389" s="364">
        <v>0</v>
      </c>
    </row>
    <row r="390" spans="1:18" s="166" customFormat="1" ht="60.75" customHeight="1">
      <c r="A390" s="87" t="s">
        <v>1195</v>
      </c>
      <c r="B390" s="113" t="s">
        <v>1194</v>
      </c>
      <c r="C390" s="152"/>
      <c r="D390" s="152"/>
      <c r="E390" s="152"/>
      <c r="F390" s="152"/>
      <c r="G390" s="152"/>
      <c r="H390" s="152"/>
      <c r="I390" s="253" t="s">
        <v>1230</v>
      </c>
      <c r="J390" s="22" t="s">
        <v>70</v>
      </c>
      <c r="K390" s="446" t="s">
        <v>1227</v>
      </c>
      <c r="L390" s="113" t="s">
        <v>32</v>
      </c>
      <c r="M390" s="113" t="s">
        <v>26</v>
      </c>
      <c r="N390" s="467">
        <v>0</v>
      </c>
      <c r="O390" s="467">
        <v>0</v>
      </c>
      <c r="P390" s="135">
        <v>30</v>
      </c>
      <c r="Q390" s="467">
        <v>0</v>
      </c>
      <c r="R390" s="467">
        <v>0</v>
      </c>
    </row>
    <row r="391" spans="1:18" s="166" customFormat="1" ht="60" customHeight="1">
      <c r="A391" s="149" t="s">
        <v>1196</v>
      </c>
      <c r="B391" s="151" t="s">
        <v>606</v>
      </c>
      <c r="C391" s="149"/>
      <c r="D391" s="149"/>
      <c r="E391" s="149"/>
      <c r="F391" s="149"/>
      <c r="G391" s="149"/>
      <c r="H391" s="149"/>
      <c r="I391" s="253" t="s">
        <v>1226</v>
      </c>
      <c r="J391" s="253" t="s">
        <v>70</v>
      </c>
      <c r="K391" s="254" t="s">
        <v>1227</v>
      </c>
      <c r="L391" s="151" t="s">
        <v>32</v>
      </c>
      <c r="M391" s="151" t="s">
        <v>26</v>
      </c>
      <c r="N391" s="364">
        <v>0</v>
      </c>
      <c r="O391" s="364">
        <v>0</v>
      </c>
      <c r="P391" s="161">
        <v>75</v>
      </c>
      <c r="Q391" s="364">
        <v>0</v>
      </c>
      <c r="R391" s="364">
        <v>0</v>
      </c>
    </row>
    <row r="392" spans="1:18" s="167" customFormat="1" ht="84">
      <c r="A392" s="90" t="s">
        <v>861</v>
      </c>
      <c r="B392" s="91">
        <v>2302</v>
      </c>
      <c r="C392" s="90" t="s">
        <v>31</v>
      </c>
      <c r="D392" s="90" t="s">
        <v>31</v>
      </c>
      <c r="E392" s="90" t="s">
        <v>31</v>
      </c>
      <c r="F392" s="90" t="s">
        <v>31</v>
      </c>
      <c r="G392" s="90" t="s">
        <v>31</v>
      </c>
      <c r="H392" s="90" t="s">
        <v>31</v>
      </c>
      <c r="I392" s="90" t="s">
        <v>31</v>
      </c>
      <c r="J392" s="90" t="s">
        <v>31</v>
      </c>
      <c r="K392" s="90" t="s">
        <v>31</v>
      </c>
      <c r="L392" s="91"/>
      <c r="M392" s="91"/>
      <c r="N392" s="92">
        <f>SUM(N395:N424)</f>
        <v>150281.48100000003</v>
      </c>
      <c r="O392" s="92">
        <f>SUM(O395:O424)</f>
        <v>78534.153</v>
      </c>
      <c r="P392" s="92">
        <f>SUM(P395:P424)</f>
        <v>100225.69138</v>
      </c>
      <c r="Q392" s="92">
        <f>SUM(Q395:Q424)</f>
        <v>25509.9</v>
      </c>
      <c r="R392" s="92">
        <f>SUM(R395:R424)</f>
        <v>25509.9</v>
      </c>
    </row>
    <row r="393" spans="1:18" s="166" customFormat="1" ht="12">
      <c r="A393" s="66" t="s">
        <v>100</v>
      </c>
      <c r="B393" s="80"/>
      <c r="C393" s="84"/>
      <c r="D393" s="84"/>
      <c r="E393" s="84"/>
      <c r="F393" s="84"/>
      <c r="G393" s="144"/>
      <c r="H393" s="149"/>
      <c r="I393" s="149"/>
      <c r="J393" s="149"/>
      <c r="K393" s="149"/>
      <c r="L393" s="79"/>
      <c r="M393" s="80"/>
      <c r="N393" s="35"/>
      <c r="O393" s="35"/>
      <c r="P393" s="35"/>
      <c r="Q393" s="35"/>
      <c r="R393" s="236"/>
    </row>
    <row r="394" spans="1:18" s="166" customFormat="1" ht="24">
      <c r="A394" s="66" t="s">
        <v>862</v>
      </c>
      <c r="B394" s="80"/>
      <c r="C394" s="84"/>
      <c r="D394" s="84"/>
      <c r="E394" s="84"/>
      <c r="F394" s="84"/>
      <c r="G394" s="144"/>
      <c r="H394" s="149"/>
      <c r="I394" s="149"/>
      <c r="J394" s="149"/>
      <c r="K394" s="149"/>
      <c r="L394" s="79"/>
      <c r="M394" s="80"/>
      <c r="N394" s="35"/>
      <c r="O394" s="35"/>
      <c r="P394" s="84"/>
      <c r="Q394" s="84"/>
      <c r="R394" s="240"/>
    </row>
    <row r="395" spans="1:18" s="166" customFormat="1" ht="48">
      <c r="A395" s="152" t="s">
        <v>956</v>
      </c>
      <c r="B395" s="151" t="s">
        <v>606</v>
      </c>
      <c r="C395" s="149"/>
      <c r="D395" s="149"/>
      <c r="E395" s="149"/>
      <c r="F395" s="149"/>
      <c r="G395" s="149"/>
      <c r="H395" s="149"/>
      <c r="I395" s="447" t="s">
        <v>621</v>
      </c>
      <c r="J395" s="253" t="s">
        <v>70</v>
      </c>
      <c r="K395" s="254" t="s">
        <v>618</v>
      </c>
      <c r="L395" s="113" t="s">
        <v>35</v>
      </c>
      <c r="M395" s="113" t="s">
        <v>36</v>
      </c>
      <c r="N395" s="161">
        <v>2985</v>
      </c>
      <c r="O395" s="156">
        <v>2985</v>
      </c>
      <c r="P395" s="161">
        <v>0</v>
      </c>
      <c r="Q395" s="161">
        <v>0</v>
      </c>
      <c r="R395" s="161">
        <v>0</v>
      </c>
    </row>
    <row r="396" spans="1:18" s="166" customFormat="1" ht="83.25" customHeight="1">
      <c r="A396" s="152" t="s">
        <v>957</v>
      </c>
      <c r="B396" s="151" t="s">
        <v>500</v>
      </c>
      <c r="C396" s="149"/>
      <c r="D396" s="149"/>
      <c r="E396" s="149"/>
      <c r="F396" s="149"/>
      <c r="G396" s="149"/>
      <c r="H396" s="149"/>
      <c r="I396" s="448" t="s">
        <v>766</v>
      </c>
      <c r="J396" s="253" t="s">
        <v>70</v>
      </c>
      <c r="K396" s="254" t="s">
        <v>616</v>
      </c>
      <c r="L396" s="113" t="s">
        <v>35</v>
      </c>
      <c r="M396" s="113" t="s">
        <v>36</v>
      </c>
      <c r="N396" s="161">
        <v>8239.5</v>
      </c>
      <c r="O396" s="156">
        <v>7531.275</v>
      </c>
      <c r="P396" s="161">
        <v>0</v>
      </c>
      <c r="Q396" s="161">
        <v>0</v>
      </c>
      <c r="R396" s="161">
        <v>0</v>
      </c>
    </row>
    <row r="397" spans="1:18" s="166" customFormat="1" ht="48.75" customHeight="1">
      <c r="A397" s="152" t="s">
        <v>958</v>
      </c>
      <c r="B397" s="151" t="s">
        <v>513</v>
      </c>
      <c r="C397" s="149"/>
      <c r="D397" s="149"/>
      <c r="E397" s="149"/>
      <c r="F397" s="149"/>
      <c r="G397" s="149"/>
      <c r="H397" s="149"/>
      <c r="I397" s="448" t="s">
        <v>642</v>
      </c>
      <c r="J397" s="253" t="s">
        <v>70</v>
      </c>
      <c r="K397" s="254" t="s">
        <v>643</v>
      </c>
      <c r="L397" s="113" t="s">
        <v>35</v>
      </c>
      <c r="M397" s="113" t="s">
        <v>36</v>
      </c>
      <c r="N397" s="161">
        <v>4734</v>
      </c>
      <c r="O397" s="156">
        <v>4734</v>
      </c>
      <c r="P397" s="161">
        <v>0</v>
      </c>
      <c r="Q397" s="161">
        <v>0</v>
      </c>
      <c r="R397" s="161">
        <v>0</v>
      </c>
    </row>
    <row r="398" spans="1:18" s="166" customFormat="1" ht="72" customHeight="1">
      <c r="A398" s="152" t="s">
        <v>959</v>
      </c>
      <c r="B398" s="113" t="s">
        <v>599</v>
      </c>
      <c r="C398" s="152"/>
      <c r="D398" s="152"/>
      <c r="E398" s="152"/>
      <c r="F398" s="152"/>
      <c r="G398" s="152"/>
      <c r="H398" s="152"/>
      <c r="I398" s="448" t="s">
        <v>675</v>
      </c>
      <c r="J398" s="22" t="s">
        <v>70</v>
      </c>
      <c r="K398" s="446" t="s">
        <v>673</v>
      </c>
      <c r="L398" s="113" t="s">
        <v>35</v>
      </c>
      <c r="M398" s="113" t="s">
        <v>36</v>
      </c>
      <c r="N398" s="135">
        <v>4044.427</v>
      </c>
      <c r="O398" s="363">
        <v>4044.427</v>
      </c>
      <c r="P398" s="135">
        <v>0</v>
      </c>
      <c r="Q398" s="135">
        <v>0</v>
      </c>
      <c r="R398" s="135">
        <v>0</v>
      </c>
    </row>
    <row r="399" spans="1:18" s="166" customFormat="1" ht="72" customHeight="1">
      <c r="A399" s="157"/>
      <c r="B399" s="119"/>
      <c r="C399" s="157"/>
      <c r="D399" s="157"/>
      <c r="E399" s="157"/>
      <c r="F399" s="157"/>
      <c r="G399" s="157"/>
      <c r="H399" s="157"/>
      <c r="I399" s="277" t="s">
        <v>773</v>
      </c>
      <c r="J399" s="25" t="s">
        <v>70</v>
      </c>
      <c r="K399" s="257" t="s">
        <v>774</v>
      </c>
      <c r="L399" s="119"/>
      <c r="M399" s="119"/>
      <c r="N399" s="158"/>
      <c r="O399" s="114"/>
      <c r="P399" s="158"/>
      <c r="Q399" s="158"/>
      <c r="R399" s="158"/>
    </row>
    <row r="400" spans="1:18" s="166" customFormat="1" ht="60">
      <c r="A400" s="152" t="s">
        <v>960</v>
      </c>
      <c r="B400" s="151" t="s">
        <v>511</v>
      </c>
      <c r="C400" s="149"/>
      <c r="D400" s="149"/>
      <c r="E400" s="149"/>
      <c r="F400" s="149"/>
      <c r="G400" s="149"/>
      <c r="H400" s="149"/>
      <c r="I400" s="448" t="s">
        <v>735</v>
      </c>
      <c r="J400" s="253" t="s">
        <v>70</v>
      </c>
      <c r="K400" s="254" t="s">
        <v>673</v>
      </c>
      <c r="L400" s="113" t="s">
        <v>35</v>
      </c>
      <c r="M400" s="113" t="s">
        <v>36</v>
      </c>
      <c r="N400" s="161">
        <v>2500</v>
      </c>
      <c r="O400" s="156">
        <v>2485.547</v>
      </c>
      <c r="P400" s="161">
        <v>0</v>
      </c>
      <c r="Q400" s="161">
        <v>0</v>
      </c>
      <c r="R400" s="161">
        <v>0</v>
      </c>
    </row>
    <row r="401" spans="1:18" s="166" customFormat="1" ht="48">
      <c r="A401" s="152" t="s">
        <v>961</v>
      </c>
      <c r="B401" s="151" t="s">
        <v>510</v>
      </c>
      <c r="C401" s="149"/>
      <c r="D401" s="149"/>
      <c r="E401" s="149"/>
      <c r="F401" s="149"/>
      <c r="G401" s="149"/>
      <c r="H401" s="149"/>
      <c r="I401" s="448" t="s">
        <v>674</v>
      </c>
      <c r="J401" s="253" t="s">
        <v>70</v>
      </c>
      <c r="K401" s="254" t="s">
        <v>673</v>
      </c>
      <c r="L401" s="113" t="s">
        <v>35</v>
      </c>
      <c r="M401" s="113" t="s">
        <v>36</v>
      </c>
      <c r="N401" s="161">
        <v>199.893</v>
      </c>
      <c r="O401" s="156">
        <v>199.893</v>
      </c>
      <c r="P401" s="161">
        <v>0</v>
      </c>
      <c r="Q401" s="161">
        <v>0</v>
      </c>
      <c r="R401" s="161">
        <v>0</v>
      </c>
    </row>
    <row r="402" spans="1:18" s="166" customFormat="1" ht="60">
      <c r="A402" s="152" t="s">
        <v>962</v>
      </c>
      <c r="B402" s="151" t="s">
        <v>522</v>
      </c>
      <c r="C402" s="149"/>
      <c r="D402" s="149"/>
      <c r="E402" s="149"/>
      <c r="F402" s="149"/>
      <c r="G402" s="149"/>
      <c r="H402" s="149"/>
      <c r="I402" s="448" t="s">
        <v>1086</v>
      </c>
      <c r="J402" s="253" t="s">
        <v>70</v>
      </c>
      <c r="K402" s="254" t="s">
        <v>678</v>
      </c>
      <c r="L402" s="113" t="s">
        <v>35</v>
      </c>
      <c r="M402" s="113" t="s">
        <v>36</v>
      </c>
      <c r="N402" s="161">
        <v>12000</v>
      </c>
      <c r="O402" s="156">
        <v>12000</v>
      </c>
      <c r="P402" s="161">
        <v>0</v>
      </c>
      <c r="Q402" s="161">
        <v>0</v>
      </c>
      <c r="R402" s="161">
        <v>0</v>
      </c>
    </row>
    <row r="403" spans="1:18" s="166" customFormat="1" ht="48">
      <c r="A403" s="152" t="s">
        <v>963</v>
      </c>
      <c r="B403" s="151" t="s">
        <v>519</v>
      </c>
      <c r="C403" s="149"/>
      <c r="D403" s="149"/>
      <c r="E403" s="149"/>
      <c r="F403" s="149"/>
      <c r="G403" s="149"/>
      <c r="H403" s="149"/>
      <c r="I403" s="448" t="s">
        <v>1087</v>
      </c>
      <c r="J403" s="253" t="s">
        <v>70</v>
      </c>
      <c r="K403" s="254" t="s">
        <v>1088</v>
      </c>
      <c r="L403" s="113" t="s">
        <v>35</v>
      </c>
      <c r="M403" s="113" t="s">
        <v>36</v>
      </c>
      <c r="N403" s="161">
        <v>598.728</v>
      </c>
      <c r="O403" s="156">
        <v>598.728</v>
      </c>
      <c r="P403" s="161">
        <v>0</v>
      </c>
      <c r="Q403" s="161">
        <v>0</v>
      </c>
      <c r="R403" s="161">
        <v>0</v>
      </c>
    </row>
    <row r="404" spans="1:18" s="166" customFormat="1" ht="60">
      <c r="A404" s="152" t="s">
        <v>964</v>
      </c>
      <c r="B404" s="151" t="s">
        <v>527</v>
      </c>
      <c r="C404" s="149"/>
      <c r="D404" s="149"/>
      <c r="E404" s="149"/>
      <c r="F404" s="149"/>
      <c r="G404" s="149"/>
      <c r="H404" s="149"/>
      <c r="I404" s="448" t="s">
        <v>1089</v>
      </c>
      <c r="J404" s="253" t="s">
        <v>70</v>
      </c>
      <c r="K404" s="254" t="s">
        <v>687</v>
      </c>
      <c r="L404" s="113" t="s">
        <v>35</v>
      </c>
      <c r="M404" s="113" t="s">
        <v>36</v>
      </c>
      <c r="N404" s="161">
        <v>200</v>
      </c>
      <c r="O404" s="156">
        <v>200</v>
      </c>
      <c r="P404" s="161">
        <v>0</v>
      </c>
      <c r="Q404" s="161">
        <v>0</v>
      </c>
      <c r="R404" s="161">
        <v>0</v>
      </c>
    </row>
    <row r="405" spans="1:18" s="166" customFormat="1" ht="48">
      <c r="A405" s="152" t="s">
        <v>965</v>
      </c>
      <c r="B405" s="151" t="s">
        <v>539</v>
      </c>
      <c r="C405" s="149"/>
      <c r="D405" s="149"/>
      <c r="E405" s="149"/>
      <c r="F405" s="149"/>
      <c r="G405" s="149"/>
      <c r="H405" s="149"/>
      <c r="I405" s="448" t="s">
        <v>706</v>
      </c>
      <c r="J405" s="253" t="s">
        <v>70</v>
      </c>
      <c r="K405" s="254" t="s">
        <v>707</v>
      </c>
      <c r="L405" s="113" t="s">
        <v>35</v>
      </c>
      <c r="M405" s="113" t="s">
        <v>36</v>
      </c>
      <c r="N405" s="161">
        <v>1330</v>
      </c>
      <c r="O405" s="156">
        <v>1330</v>
      </c>
      <c r="P405" s="161">
        <v>0</v>
      </c>
      <c r="Q405" s="161">
        <v>0</v>
      </c>
      <c r="R405" s="161">
        <v>0</v>
      </c>
    </row>
    <row r="406" spans="1:18" s="166" customFormat="1" ht="60">
      <c r="A406" s="152" t="s">
        <v>966</v>
      </c>
      <c r="B406" s="151" t="s">
        <v>540</v>
      </c>
      <c r="C406" s="149"/>
      <c r="D406" s="149"/>
      <c r="E406" s="149"/>
      <c r="F406" s="149"/>
      <c r="G406" s="149"/>
      <c r="H406" s="149"/>
      <c r="I406" s="448" t="s">
        <v>708</v>
      </c>
      <c r="J406" s="253" t="s">
        <v>70</v>
      </c>
      <c r="K406" s="254" t="s">
        <v>707</v>
      </c>
      <c r="L406" s="113" t="s">
        <v>35</v>
      </c>
      <c r="M406" s="113" t="s">
        <v>36</v>
      </c>
      <c r="N406" s="161">
        <v>389</v>
      </c>
      <c r="O406" s="156">
        <v>389</v>
      </c>
      <c r="P406" s="161">
        <v>0</v>
      </c>
      <c r="Q406" s="161">
        <v>0</v>
      </c>
      <c r="R406" s="161">
        <v>0</v>
      </c>
    </row>
    <row r="407" spans="1:18" s="166" customFormat="1" ht="48">
      <c r="A407" s="152" t="s">
        <v>967</v>
      </c>
      <c r="B407" s="151" t="s">
        <v>710</v>
      </c>
      <c r="C407" s="149"/>
      <c r="D407" s="149"/>
      <c r="E407" s="149"/>
      <c r="F407" s="149"/>
      <c r="G407" s="149"/>
      <c r="H407" s="149"/>
      <c r="I407" s="448" t="s">
        <v>709</v>
      </c>
      <c r="J407" s="253" t="s">
        <v>70</v>
      </c>
      <c r="K407" s="254" t="s">
        <v>707</v>
      </c>
      <c r="L407" s="113" t="s">
        <v>35</v>
      </c>
      <c r="M407" s="113" t="s">
        <v>36</v>
      </c>
      <c r="N407" s="161">
        <v>140</v>
      </c>
      <c r="O407" s="156">
        <v>140</v>
      </c>
      <c r="P407" s="161">
        <v>0</v>
      </c>
      <c r="Q407" s="161">
        <v>0</v>
      </c>
      <c r="R407" s="161">
        <v>0</v>
      </c>
    </row>
    <row r="408" spans="1:18" s="166" customFormat="1" ht="48">
      <c r="A408" s="152" t="s">
        <v>968</v>
      </c>
      <c r="B408" s="151" t="s">
        <v>544</v>
      </c>
      <c r="C408" s="149"/>
      <c r="D408" s="149"/>
      <c r="E408" s="149"/>
      <c r="F408" s="149"/>
      <c r="G408" s="149"/>
      <c r="H408" s="149"/>
      <c r="I408" s="448" t="s">
        <v>749</v>
      </c>
      <c r="J408" s="253" t="s">
        <v>70</v>
      </c>
      <c r="K408" s="254" t="s">
        <v>745</v>
      </c>
      <c r="L408" s="113" t="s">
        <v>35</v>
      </c>
      <c r="M408" s="113" t="s">
        <v>36</v>
      </c>
      <c r="N408" s="161">
        <v>1800</v>
      </c>
      <c r="O408" s="156">
        <v>1796.971</v>
      </c>
      <c r="P408" s="161">
        <v>0</v>
      </c>
      <c r="Q408" s="161">
        <v>0</v>
      </c>
      <c r="R408" s="161">
        <v>0</v>
      </c>
    </row>
    <row r="409" spans="1:18" s="166" customFormat="1" ht="72">
      <c r="A409" s="152" t="s">
        <v>969</v>
      </c>
      <c r="B409" s="151" t="s">
        <v>545</v>
      </c>
      <c r="C409" s="149"/>
      <c r="D409" s="149"/>
      <c r="E409" s="149"/>
      <c r="F409" s="149"/>
      <c r="G409" s="149"/>
      <c r="H409" s="149"/>
      <c r="I409" s="448" t="s">
        <v>748</v>
      </c>
      <c r="J409" s="253" t="s">
        <v>70</v>
      </c>
      <c r="K409" s="254" t="s">
        <v>745</v>
      </c>
      <c r="L409" s="113" t="s">
        <v>35</v>
      </c>
      <c r="M409" s="113" t="s">
        <v>36</v>
      </c>
      <c r="N409" s="161">
        <v>100</v>
      </c>
      <c r="O409" s="156">
        <v>100</v>
      </c>
      <c r="P409" s="161">
        <v>0</v>
      </c>
      <c r="Q409" s="161">
        <v>0</v>
      </c>
      <c r="R409" s="161">
        <v>0</v>
      </c>
    </row>
    <row r="410" spans="1:18" s="166" customFormat="1" ht="72">
      <c r="A410" s="152" t="s">
        <v>970</v>
      </c>
      <c r="B410" s="151" t="s">
        <v>537</v>
      </c>
      <c r="C410" s="149"/>
      <c r="D410" s="149"/>
      <c r="E410" s="149"/>
      <c r="F410" s="149"/>
      <c r="G410" s="149"/>
      <c r="H410" s="149"/>
      <c r="I410" s="448" t="s">
        <v>1091</v>
      </c>
      <c r="J410" s="253" t="s">
        <v>70</v>
      </c>
      <c r="K410" s="254" t="s">
        <v>1090</v>
      </c>
      <c r="L410" s="113" t="s">
        <v>35</v>
      </c>
      <c r="M410" s="113" t="s">
        <v>36</v>
      </c>
      <c r="N410" s="161">
        <v>2863.934</v>
      </c>
      <c r="O410" s="156">
        <v>2863.934</v>
      </c>
      <c r="P410" s="161">
        <v>0</v>
      </c>
      <c r="Q410" s="161">
        <v>0</v>
      </c>
      <c r="R410" s="161">
        <v>0</v>
      </c>
    </row>
    <row r="411" spans="1:18" s="166" customFormat="1" ht="60">
      <c r="A411" s="152" t="s">
        <v>971</v>
      </c>
      <c r="B411" s="151" t="s">
        <v>711</v>
      </c>
      <c r="C411" s="149"/>
      <c r="D411" s="149"/>
      <c r="E411" s="149"/>
      <c r="F411" s="149"/>
      <c r="G411" s="149"/>
      <c r="H411" s="149"/>
      <c r="I411" s="448" t="s">
        <v>1092</v>
      </c>
      <c r="J411" s="253" t="s">
        <v>70</v>
      </c>
      <c r="K411" s="254" t="s">
        <v>1090</v>
      </c>
      <c r="L411" s="113" t="s">
        <v>35</v>
      </c>
      <c r="M411" s="113" t="s">
        <v>36</v>
      </c>
      <c r="N411" s="161">
        <v>1419.583</v>
      </c>
      <c r="O411" s="156">
        <v>1419.583</v>
      </c>
      <c r="P411" s="161">
        <v>0</v>
      </c>
      <c r="Q411" s="161">
        <v>0</v>
      </c>
      <c r="R411" s="161">
        <v>0</v>
      </c>
    </row>
    <row r="412" spans="1:18" s="166" customFormat="1" ht="72">
      <c r="A412" s="152" t="s">
        <v>972</v>
      </c>
      <c r="B412" s="151" t="s">
        <v>756</v>
      </c>
      <c r="C412" s="149"/>
      <c r="D412" s="149"/>
      <c r="E412" s="149"/>
      <c r="F412" s="149"/>
      <c r="G412" s="149"/>
      <c r="H412" s="149"/>
      <c r="I412" s="448" t="s">
        <v>770</v>
      </c>
      <c r="J412" s="253" t="s">
        <v>70</v>
      </c>
      <c r="K412" s="254" t="s">
        <v>771</v>
      </c>
      <c r="L412" s="113" t="s">
        <v>35</v>
      </c>
      <c r="M412" s="113" t="s">
        <v>36</v>
      </c>
      <c r="N412" s="161">
        <v>450</v>
      </c>
      <c r="O412" s="156">
        <v>450</v>
      </c>
      <c r="P412" s="161">
        <v>0</v>
      </c>
      <c r="Q412" s="161">
        <v>0</v>
      </c>
      <c r="R412" s="161">
        <v>0</v>
      </c>
    </row>
    <row r="413" spans="1:18" s="166" customFormat="1" ht="60">
      <c r="A413" s="152" t="s">
        <v>973</v>
      </c>
      <c r="B413" s="151" t="s">
        <v>552</v>
      </c>
      <c r="C413" s="149"/>
      <c r="D413" s="149"/>
      <c r="E413" s="149"/>
      <c r="F413" s="149"/>
      <c r="G413" s="149"/>
      <c r="H413" s="149"/>
      <c r="I413" s="448" t="s">
        <v>772</v>
      </c>
      <c r="J413" s="253" t="s">
        <v>70</v>
      </c>
      <c r="K413" s="254" t="s">
        <v>771</v>
      </c>
      <c r="L413" s="113" t="s">
        <v>35</v>
      </c>
      <c r="M413" s="113" t="s">
        <v>36</v>
      </c>
      <c r="N413" s="161">
        <v>255</v>
      </c>
      <c r="O413" s="156">
        <v>255</v>
      </c>
      <c r="P413" s="161">
        <v>0</v>
      </c>
      <c r="Q413" s="161">
        <v>0</v>
      </c>
      <c r="R413" s="161">
        <v>0</v>
      </c>
    </row>
    <row r="414" spans="1:18" s="166" customFormat="1" ht="48">
      <c r="A414" s="152" t="s">
        <v>974</v>
      </c>
      <c r="B414" s="151" t="s">
        <v>757</v>
      </c>
      <c r="C414" s="149"/>
      <c r="D414" s="149"/>
      <c r="E414" s="149"/>
      <c r="F414" s="149"/>
      <c r="G414" s="149"/>
      <c r="H414" s="149"/>
      <c r="I414" s="448" t="s">
        <v>775</v>
      </c>
      <c r="J414" s="253" t="s">
        <v>70</v>
      </c>
      <c r="K414" s="254" t="s">
        <v>771</v>
      </c>
      <c r="L414" s="113" t="s">
        <v>35</v>
      </c>
      <c r="M414" s="113" t="s">
        <v>36</v>
      </c>
      <c r="N414" s="161">
        <v>100</v>
      </c>
      <c r="O414" s="156">
        <v>99.9</v>
      </c>
      <c r="P414" s="161">
        <v>0</v>
      </c>
      <c r="Q414" s="161">
        <v>0</v>
      </c>
      <c r="R414" s="161">
        <v>0</v>
      </c>
    </row>
    <row r="415" spans="1:18" s="166" customFormat="1" ht="60">
      <c r="A415" s="152" t="s">
        <v>976</v>
      </c>
      <c r="B415" s="151" t="s">
        <v>975</v>
      </c>
      <c r="C415" s="149"/>
      <c r="D415" s="149"/>
      <c r="E415" s="149"/>
      <c r="F415" s="149"/>
      <c r="G415" s="149"/>
      <c r="H415" s="149"/>
      <c r="I415" s="448" t="s">
        <v>977</v>
      </c>
      <c r="J415" s="253" t="s">
        <v>70</v>
      </c>
      <c r="K415" s="254" t="s">
        <v>978</v>
      </c>
      <c r="L415" s="113" t="s">
        <v>35</v>
      </c>
      <c r="M415" s="113" t="s">
        <v>36</v>
      </c>
      <c r="N415" s="161">
        <v>50</v>
      </c>
      <c r="O415" s="156">
        <v>50</v>
      </c>
      <c r="P415" s="161">
        <v>0</v>
      </c>
      <c r="Q415" s="161">
        <v>0</v>
      </c>
      <c r="R415" s="161">
        <v>0</v>
      </c>
    </row>
    <row r="416" spans="1:18" s="166" customFormat="1" ht="48">
      <c r="A416" s="152" t="s">
        <v>979</v>
      </c>
      <c r="B416" s="151" t="s">
        <v>980</v>
      </c>
      <c r="C416" s="149"/>
      <c r="D416" s="149"/>
      <c r="E416" s="149"/>
      <c r="F416" s="149"/>
      <c r="G416" s="149"/>
      <c r="H416" s="149"/>
      <c r="I416" s="448" t="s">
        <v>981</v>
      </c>
      <c r="J416" s="253" t="s">
        <v>70</v>
      </c>
      <c r="K416" s="254" t="s">
        <v>982</v>
      </c>
      <c r="L416" s="113" t="s">
        <v>35</v>
      </c>
      <c r="M416" s="113" t="s">
        <v>36</v>
      </c>
      <c r="N416" s="161">
        <v>79.2</v>
      </c>
      <c r="O416" s="156">
        <v>48.154</v>
      </c>
      <c r="P416" s="161">
        <v>0</v>
      </c>
      <c r="Q416" s="161">
        <v>0</v>
      </c>
      <c r="R416" s="161">
        <v>0</v>
      </c>
    </row>
    <row r="417" spans="1:18" s="166" customFormat="1" ht="60">
      <c r="A417" s="152" t="s">
        <v>983</v>
      </c>
      <c r="B417" s="151" t="s">
        <v>984</v>
      </c>
      <c r="C417" s="149"/>
      <c r="D417" s="149"/>
      <c r="E417" s="149"/>
      <c r="F417" s="149"/>
      <c r="G417" s="149"/>
      <c r="H417" s="149"/>
      <c r="I417" s="448" t="s">
        <v>985</v>
      </c>
      <c r="J417" s="253" t="s">
        <v>70</v>
      </c>
      <c r="K417" s="254" t="s">
        <v>986</v>
      </c>
      <c r="L417" s="113" t="s">
        <v>35</v>
      </c>
      <c r="M417" s="113" t="s">
        <v>36</v>
      </c>
      <c r="N417" s="161">
        <v>47000</v>
      </c>
      <c r="O417" s="156">
        <v>0</v>
      </c>
      <c r="P417" s="161">
        <v>0</v>
      </c>
      <c r="Q417" s="161">
        <v>0</v>
      </c>
      <c r="R417" s="161">
        <v>0</v>
      </c>
    </row>
    <row r="418" spans="1:18" s="166" customFormat="1" ht="84">
      <c r="A418" s="149" t="s">
        <v>1198</v>
      </c>
      <c r="B418" s="151" t="s">
        <v>500</v>
      </c>
      <c r="C418" s="149"/>
      <c r="D418" s="149"/>
      <c r="E418" s="149"/>
      <c r="F418" s="149"/>
      <c r="G418" s="149"/>
      <c r="H418" s="149"/>
      <c r="I418" s="468" t="s">
        <v>1315</v>
      </c>
      <c r="J418" s="253" t="s">
        <v>70</v>
      </c>
      <c r="K418" s="254" t="s">
        <v>1216</v>
      </c>
      <c r="L418" s="151" t="s">
        <v>35</v>
      </c>
      <c r="M418" s="151" t="s">
        <v>36</v>
      </c>
      <c r="N418" s="161">
        <v>0</v>
      </c>
      <c r="O418" s="156">
        <v>0</v>
      </c>
      <c r="P418" s="161">
        <v>2300</v>
      </c>
      <c r="Q418" s="161">
        <v>0</v>
      </c>
      <c r="R418" s="161">
        <v>0</v>
      </c>
    </row>
    <row r="419" spans="1:18" s="166" customFormat="1" ht="72">
      <c r="A419" s="149" t="s">
        <v>1236</v>
      </c>
      <c r="B419" s="151" t="s">
        <v>1237</v>
      </c>
      <c r="C419" s="149"/>
      <c r="D419" s="149"/>
      <c r="E419" s="149"/>
      <c r="F419" s="149"/>
      <c r="G419" s="149"/>
      <c r="H419" s="149"/>
      <c r="I419" s="468" t="s">
        <v>1257</v>
      </c>
      <c r="J419" s="253" t="s">
        <v>70</v>
      </c>
      <c r="K419" s="254" t="s">
        <v>1258</v>
      </c>
      <c r="L419" s="151" t="s">
        <v>35</v>
      </c>
      <c r="M419" s="151" t="s">
        <v>36</v>
      </c>
      <c r="N419" s="161"/>
      <c r="O419" s="156"/>
      <c r="P419" s="161">
        <v>708.225</v>
      </c>
      <c r="Q419" s="161"/>
      <c r="R419" s="161"/>
    </row>
    <row r="420" spans="1:18" s="166" customFormat="1" ht="72">
      <c r="A420" s="149" t="s">
        <v>1238</v>
      </c>
      <c r="B420" s="151" t="s">
        <v>599</v>
      </c>
      <c r="C420" s="149"/>
      <c r="D420" s="149"/>
      <c r="E420" s="149"/>
      <c r="F420" s="149"/>
      <c r="G420" s="149"/>
      <c r="H420" s="149"/>
      <c r="I420" s="468" t="s">
        <v>1260</v>
      </c>
      <c r="J420" s="253" t="s">
        <v>70</v>
      </c>
      <c r="K420" s="254" t="s">
        <v>1261</v>
      </c>
      <c r="L420" s="151" t="s">
        <v>35</v>
      </c>
      <c r="M420" s="151" t="s">
        <v>36</v>
      </c>
      <c r="N420" s="161"/>
      <c r="O420" s="156"/>
      <c r="P420" s="161">
        <v>47000</v>
      </c>
      <c r="Q420" s="161"/>
      <c r="R420" s="161"/>
    </row>
    <row r="421" spans="1:18" s="167" customFormat="1" ht="24">
      <c r="A421" s="110" t="s">
        <v>863</v>
      </c>
      <c r="B421" s="155"/>
      <c r="C421" s="110"/>
      <c r="D421" s="110"/>
      <c r="E421" s="110"/>
      <c r="F421" s="110"/>
      <c r="G421" s="110"/>
      <c r="H421" s="110"/>
      <c r="I421" s="19"/>
      <c r="J421" s="19"/>
      <c r="K421" s="20"/>
      <c r="L421" s="155"/>
      <c r="M421" s="155"/>
      <c r="N421" s="110"/>
      <c r="O421" s="148"/>
      <c r="P421" s="110"/>
      <c r="Q421" s="110"/>
      <c r="R421" s="110"/>
    </row>
    <row r="422" spans="1:18" s="166" customFormat="1" ht="120">
      <c r="A422" s="75" t="s">
        <v>864</v>
      </c>
      <c r="B422" s="95" t="s">
        <v>1199</v>
      </c>
      <c r="C422" s="75"/>
      <c r="D422" s="75"/>
      <c r="E422" s="75"/>
      <c r="F422" s="9" t="s">
        <v>114</v>
      </c>
      <c r="G422" s="36" t="s">
        <v>1181</v>
      </c>
      <c r="H422" s="36" t="s">
        <v>85</v>
      </c>
      <c r="I422" s="36" t="s">
        <v>1213</v>
      </c>
      <c r="J422" s="36" t="s">
        <v>70</v>
      </c>
      <c r="K422" s="36" t="s">
        <v>1214</v>
      </c>
      <c r="L422" s="95" t="s">
        <v>35</v>
      </c>
      <c r="M422" s="95" t="s">
        <v>36</v>
      </c>
      <c r="N422" s="171">
        <v>24996.4</v>
      </c>
      <c r="O422" s="86">
        <v>21789.991</v>
      </c>
      <c r="P422" s="171">
        <v>25509.9</v>
      </c>
      <c r="Q422" s="171">
        <v>25509.9</v>
      </c>
      <c r="R422" s="171">
        <v>25509.9</v>
      </c>
    </row>
    <row r="423" spans="1:18" s="166" customFormat="1" ht="86.25" customHeight="1">
      <c r="A423" s="149" t="s">
        <v>987</v>
      </c>
      <c r="B423" s="151" t="s">
        <v>609</v>
      </c>
      <c r="C423" s="149"/>
      <c r="D423" s="149"/>
      <c r="E423" s="149"/>
      <c r="F423" s="149"/>
      <c r="G423" s="149"/>
      <c r="H423" s="149"/>
      <c r="I423" s="253" t="s">
        <v>1350</v>
      </c>
      <c r="J423" s="253" t="s">
        <v>70</v>
      </c>
      <c r="K423" s="254" t="s">
        <v>1351</v>
      </c>
      <c r="L423" s="151" t="s">
        <v>35</v>
      </c>
      <c r="M423" s="151" t="s">
        <v>36</v>
      </c>
      <c r="N423" s="161">
        <v>32554.29</v>
      </c>
      <c r="O423" s="156">
        <v>11770.224</v>
      </c>
      <c r="P423" s="161">
        <v>20784.06638</v>
      </c>
      <c r="Q423" s="161">
        <v>0</v>
      </c>
      <c r="R423" s="161">
        <v>0</v>
      </c>
    </row>
    <row r="424" spans="1:18" s="166" customFormat="1" ht="86.25" customHeight="1">
      <c r="A424" s="149" t="s">
        <v>1291</v>
      </c>
      <c r="B424" s="151" t="s">
        <v>549</v>
      </c>
      <c r="C424" s="149"/>
      <c r="D424" s="149"/>
      <c r="E424" s="149"/>
      <c r="F424" s="149"/>
      <c r="G424" s="149"/>
      <c r="H424" s="149"/>
      <c r="I424" s="253" t="s">
        <v>1340</v>
      </c>
      <c r="J424" s="253" t="s">
        <v>70</v>
      </c>
      <c r="K424" s="254" t="s">
        <v>1341</v>
      </c>
      <c r="L424" s="151" t="s">
        <v>35</v>
      </c>
      <c r="M424" s="151" t="s">
        <v>36</v>
      </c>
      <c r="N424" s="161">
        <v>1252.526</v>
      </c>
      <c r="O424" s="156">
        <v>1252.526</v>
      </c>
      <c r="P424" s="161">
        <v>3923.5</v>
      </c>
      <c r="Q424" s="161">
        <v>0</v>
      </c>
      <c r="R424" s="161">
        <v>0</v>
      </c>
    </row>
    <row r="425" spans="1:18" s="167" customFormat="1" ht="181.5" customHeight="1">
      <c r="A425" s="90" t="s">
        <v>865</v>
      </c>
      <c r="B425" s="91">
        <v>2304</v>
      </c>
      <c r="C425" s="90" t="s">
        <v>31</v>
      </c>
      <c r="D425" s="90" t="s">
        <v>31</v>
      </c>
      <c r="E425" s="90" t="s">
        <v>31</v>
      </c>
      <c r="F425" s="90" t="s">
        <v>31</v>
      </c>
      <c r="G425" s="90" t="s">
        <v>31</v>
      </c>
      <c r="H425" s="90" t="s">
        <v>31</v>
      </c>
      <c r="I425" s="90" t="s">
        <v>31</v>
      </c>
      <c r="J425" s="90" t="s">
        <v>31</v>
      </c>
      <c r="K425" s="90" t="s">
        <v>31</v>
      </c>
      <c r="L425" s="106"/>
      <c r="M425" s="106"/>
      <c r="N425" s="92">
        <f>SUM(N426:N433)</f>
        <v>60641.204000000005</v>
      </c>
      <c r="O425" s="92">
        <f>SUM(O426:O433)</f>
        <v>60174.764</v>
      </c>
      <c r="P425" s="92">
        <f>SUM(P426:P434)</f>
        <v>45948.123</v>
      </c>
      <c r="Q425" s="92">
        <f>SUM(Q426:Q433)</f>
        <v>2000</v>
      </c>
      <c r="R425" s="92">
        <f>SUM(R426:R433)</f>
        <v>2000</v>
      </c>
    </row>
    <row r="426" spans="1:18" s="166" customFormat="1" ht="72">
      <c r="A426" s="84" t="s">
        <v>870</v>
      </c>
      <c r="B426" s="122" t="s">
        <v>605</v>
      </c>
      <c r="C426" s="84"/>
      <c r="D426" s="84"/>
      <c r="E426" s="84"/>
      <c r="F426" s="84"/>
      <c r="G426" s="84"/>
      <c r="H426" s="144"/>
      <c r="I426" s="150" t="s">
        <v>1093</v>
      </c>
      <c r="J426" s="149" t="s">
        <v>70</v>
      </c>
      <c r="K426" s="149" t="s">
        <v>622</v>
      </c>
      <c r="L426" s="121" t="s">
        <v>37</v>
      </c>
      <c r="M426" s="122" t="s">
        <v>38</v>
      </c>
      <c r="N426" s="35">
        <v>4245.404</v>
      </c>
      <c r="O426" s="35">
        <v>4245.404</v>
      </c>
      <c r="P426" s="35">
        <v>0</v>
      </c>
      <c r="Q426" s="35">
        <v>0</v>
      </c>
      <c r="R426" s="236">
        <v>0</v>
      </c>
    </row>
    <row r="427" spans="1:18" s="166" customFormat="1" ht="84">
      <c r="A427" s="84" t="s">
        <v>871</v>
      </c>
      <c r="B427" s="122" t="s">
        <v>335</v>
      </c>
      <c r="C427" s="84"/>
      <c r="D427" s="84"/>
      <c r="E427" s="84"/>
      <c r="F427" s="84"/>
      <c r="G427" s="84"/>
      <c r="H427" s="84"/>
      <c r="I427" s="449" t="s">
        <v>603</v>
      </c>
      <c r="J427" s="37" t="s">
        <v>70</v>
      </c>
      <c r="K427" s="37" t="s">
        <v>604</v>
      </c>
      <c r="L427" s="121" t="s">
        <v>37</v>
      </c>
      <c r="M427" s="122" t="s">
        <v>38</v>
      </c>
      <c r="N427" s="35">
        <v>8000</v>
      </c>
      <c r="O427" s="35">
        <v>8000</v>
      </c>
      <c r="P427" s="35">
        <v>2000</v>
      </c>
      <c r="Q427" s="35">
        <v>2000</v>
      </c>
      <c r="R427" s="236">
        <v>2000</v>
      </c>
    </row>
    <row r="428" spans="1:18" s="166" customFormat="1" ht="84">
      <c r="A428" s="78"/>
      <c r="B428" s="117"/>
      <c r="C428" s="78"/>
      <c r="D428" s="78"/>
      <c r="E428" s="78"/>
      <c r="F428" s="78"/>
      <c r="G428" s="78"/>
      <c r="H428" s="78"/>
      <c r="I428" s="450" t="s">
        <v>82</v>
      </c>
      <c r="J428" s="249" t="s">
        <v>70</v>
      </c>
      <c r="K428" s="249" t="s">
        <v>83</v>
      </c>
      <c r="L428" s="65"/>
      <c r="M428" s="65"/>
      <c r="N428" s="96"/>
      <c r="O428" s="96"/>
      <c r="P428" s="96"/>
      <c r="Q428" s="96"/>
      <c r="R428" s="239"/>
    </row>
    <row r="429" spans="1:18" s="166" customFormat="1" ht="144">
      <c r="A429" s="192" t="s">
        <v>1239</v>
      </c>
      <c r="B429" s="113" t="s">
        <v>607</v>
      </c>
      <c r="C429" s="112"/>
      <c r="D429" s="112"/>
      <c r="E429" s="112"/>
      <c r="F429" s="112"/>
      <c r="G429" s="112"/>
      <c r="H429" s="112"/>
      <c r="I429" s="18" t="s">
        <v>1249</v>
      </c>
      <c r="J429" s="18" t="s">
        <v>70</v>
      </c>
      <c r="K429" s="18" t="s">
        <v>1250</v>
      </c>
      <c r="L429" s="121" t="s">
        <v>37</v>
      </c>
      <c r="M429" s="122" t="s">
        <v>38</v>
      </c>
      <c r="N429" s="35">
        <v>45773</v>
      </c>
      <c r="O429" s="35">
        <v>45306.56</v>
      </c>
      <c r="P429" s="35">
        <v>39514</v>
      </c>
      <c r="Q429" s="35">
        <v>0</v>
      </c>
      <c r="R429" s="236">
        <v>0</v>
      </c>
    </row>
    <row r="430" spans="1:18" s="166" customFormat="1" ht="96.75" customHeight="1">
      <c r="A430" s="201" t="s">
        <v>1147</v>
      </c>
      <c r="B430" s="151" t="s">
        <v>682</v>
      </c>
      <c r="C430" s="150"/>
      <c r="D430" s="150"/>
      <c r="E430" s="150"/>
      <c r="F430" s="150"/>
      <c r="G430" s="150"/>
      <c r="H430" s="150"/>
      <c r="I430" s="58" t="s">
        <v>786</v>
      </c>
      <c r="J430" s="58" t="s">
        <v>70</v>
      </c>
      <c r="K430" s="58" t="s">
        <v>1094</v>
      </c>
      <c r="L430" s="121" t="s">
        <v>37</v>
      </c>
      <c r="M430" s="122" t="s">
        <v>38</v>
      </c>
      <c r="N430" s="156">
        <v>986</v>
      </c>
      <c r="O430" s="156">
        <v>986</v>
      </c>
      <c r="P430" s="156">
        <v>0</v>
      </c>
      <c r="Q430" s="156">
        <v>0</v>
      </c>
      <c r="R430" s="156">
        <v>0</v>
      </c>
    </row>
    <row r="431" spans="1:18" s="166" customFormat="1" ht="74.25" customHeight="1">
      <c r="A431" s="201" t="s">
        <v>1148</v>
      </c>
      <c r="B431" s="151" t="s">
        <v>521</v>
      </c>
      <c r="C431" s="150"/>
      <c r="D431" s="150"/>
      <c r="E431" s="150"/>
      <c r="F431" s="150"/>
      <c r="G431" s="150"/>
      <c r="H431" s="150"/>
      <c r="I431" s="58" t="s">
        <v>685</v>
      </c>
      <c r="J431" s="58" t="s">
        <v>70</v>
      </c>
      <c r="K431" s="58" t="s">
        <v>686</v>
      </c>
      <c r="L431" s="151" t="s">
        <v>37</v>
      </c>
      <c r="M431" s="151" t="s">
        <v>38</v>
      </c>
      <c r="N431" s="156">
        <v>344.8</v>
      </c>
      <c r="O431" s="156">
        <v>344.8</v>
      </c>
      <c r="P431" s="156">
        <v>0</v>
      </c>
      <c r="Q431" s="156">
        <v>0</v>
      </c>
      <c r="R431" s="156">
        <v>0</v>
      </c>
    </row>
    <row r="432" spans="1:18" s="166" customFormat="1" ht="84" customHeight="1">
      <c r="A432" s="201" t="s">
        <v>1149</v>
      </c>
      <c r="B432" s="151" t="s">
        <v>702</v>
      </c>
      <c r="C432" s="150"/>
      <c r="D432" s="150"/>
      <c r="E432" s="150"/>
      <c r="F432" s="150"/>
      <c r="G432" s="150"/>
      <c r="H432" s="150"/>
      <c r="I432" s="58" t="s">
        <v>703</v>
      </c>
      <c r="J432" s="58" t="s">
        <v>70</v>
      </c>
      <c r="K432" s="58" t="s">
        <v>704</v>
      </c>
      <c r="L432" s="151" t="s">
        <v>37</v>
      </c>
      <c r="M432" s="151" t="s">
        <v>38</v>
      </c>
      <c r="N432" s="156">
        <v>557</v>
      </c>
      <c r="O432" s="156">
        <v>557</v>
      </c>
      <c r="P432" s="156">
        <v>0</v>
      </c>
      <c r="Q432" s="156">
        <v>0</v>
      </c>
      <c r="R432" s="156">
        <v>0</v>
      </c>
    </row>
    <row r="433" spans="1:18" s="166" customFormat="1" ht="84" customHeight="1">
      <c r="A433" s="201" t="s">
        <v>1150</v>
      </c>
      <c r="B433" s="151" t="s">
        <v>542</v>
      </c>
      <c r="C433" s="150"/>
      <c r="D433" s="150"/>
      <c r="E433" s="150"/>
      <c r="F433" s="150"/>
      <c r="G433" s="150"/>
      <c r="H433" s="150"/>
      <c r="I433" s="58" t="s">
        <v>747</v>
      </c>
      <c r="J433" s="58" t="s">
        <v>70</v>
      </c>
      <c r="K433" s="58" t="s">
        <v>745</v>
      </c>
      <c r="L433" s="151" t="s">
        <v>37</v>
      </c>
      <c r="M433" s="151" t="s">
        <v>38</v>
      </c>
      <c r="N433" s="156">
        <v>735</v>
      </c>
      <c r="O433" s="156">
        <v>735</v>
      </c>
      <c r="P433" s="156">
        <v>0</v>
      </c>
      <c r="Q433" s="156">
        <v>0</v>
      </c>
      <c r="R433" s="156">
        <v>0</v>
      </c>
    </row>
    <row r="434" spans="1:18" s="166" customFormat="1" ht="60" customHeight="1">
      <c r="A434" s="201" t="s">
        <v>1240</v>
      </c>
      <c r="B434" s="151" t="s">
        <v>1241</v>
      </c>
      <c r="C434" s="150"/>
      <c r="D434" s="150"/>
      <c r="E434" s="150"/>
      <c r="F434" s="150"/>
      <c r="G434" s="150"/>
      <c r="H434" s="150"/>
      <c r="I434" s="58" t="s">
        <v>1263</v>
      </c>
      <c r="J434" s="58" t="s">
        <v>70</v>
      </c>
      <c r="K434" s="58" t="s">
        <v>1262</v>
      </c>
      <c r="L434" s="151" t="s">
        <v>37</v>
      </c>
      <c r="M434" s="151" t="s">
        <v>38</v>
      </c>
      <c r="N434" s="156"/>
      <c r="O434" s="156"/>
      <c r="P434" s="156">
        <v>4434.123</v>
      </c>
      <c r="Q434" s="156"/>
      <c r="R434" s="156"/>
    </row>
    <row r="435" spans="1:18" s="167" customFormat="1" ht="120" customHeight="1">
      <c r="A435" s="154" t="s">
        <v>866</v>
      </c>
      <c r="B435" s="470" t="s">
        <v>867</v>
      </c>
      <c r="C435" s="90"/>
      <c r="D435" s="90"/>
      <c r="E435" s="90"/>
      <c r="F435" s="90"/>
      <c r="G435" s="90"/>
      <c r="H435" s="81"/>
      <c r="I435" s="57"/>
      <c r="J435" s="57"/>
      <c r="K435" s="57"/>
      <c r="L435" s="98"/>
      <c r="M435" s="91"/>
      <c r="N435" s="92">
        <f>SUM(N436:N437)</f>
        <v>238.709</v>
      </c>
      <c r="O435" s="92">
        <f>SUM(O436:O437)</f>
        <v>238.709</v>
      </c>
      <c r="P435" s="92">
        <f>SUM(P436:P437)</f>
        <v>127.7</v>
      </c>
      <c r="Q435" s="92">
        <f>SUM(Q436:Q437)</f>
        <v>127.7</v>
      </c>
      <c r="R435" s="92">
        <f>SUM(R436:R437)</f>
        <v>127.7</v>
      </c>
    </row>
    <row r="436" spans="1:18" s="166" customFormat="1" ht="48">
      <c r="A436" s="149" t="s">
        <v>988</v>
      </c>
      <c r="B436" s="151" t="s">
        <v>543</v>
      </c>
      <c r="C436" s="149"/>
      <c r="D436" s="149"/>
      <c r="E436" s="149"/>
      <c r="F436" s="149"/>
      <c r="G436" s="149"/>
      <c r="H436" s="149"/>
      <c r="I436" s="112" t="s">
        <v>746</v>
      </c>
      <c r="J436" s="152" t="s">
        <v>70</v>
      </c>
      <c r="K436" s="152" t="s">
        <v>745</v>
      </c>
      <c r="L436" s="151" t="s">
        <v>35</v>
      </c>
      <c r="M436" s="151" t="s">
        <v>32</v>
      </c>
      <c r="N436" s="156">
        <v>238.709</v>
      </c>
      <c r="O436" s="156">
        <v>238.709</v>
      </c>
      <c r="P436" s="156">
        <v>0</v>
      </c>
      <c r="Q436" s="156">
        <v>0</v>
      </c>
      <c r="R436" s="156">
        <v>0</v>
      </c>
    </row>
    <row r="437" spans="1:18" s="166" customFormat="1" ht="48.75" customHeight="1">
      <c r="A437" s="87" t="s">
        <v>872</v>
      </c>
      <c r="B437" s="88" t="s">
        <v>608</v>
      </c>
      <c r="C437" s="87"/>
      <c r="D437" s="87"/>
      <c r="E437" s="87"/>
      <c r="F437" s="87"/>
      <c r="G437" s="87"/>
      <c r="H437" s="87"/>
      <c r="I437" s="253" t="s">
        <v>464</v>
      </c>
      <c r="J437" s="253" t="s">
        <v>70</v>
      </c>
      <c r="K437" s="254" t="s">
        <v>355</v>
      </c>
      <c r="L437" s="94" t="s">
        <v>35</v>
      </c>
      <c r="M437" s="85" t="s">
        <v>32</v>
      </c>
      <c r="N437" s="86">
        <v>0</v>
      </c>
      <c r="O437" s="86">
        <v>0</v>
      </c>
      <c r="P437" s="86">
        <v>127.7</v>
      </c>
      <c r="Q437" s="86">
        <v>127.7</v>
      </c>
      <c r="R437" s="237">
        <v>127.7</v>
      </c>
    </row>
    <row r="438" spans="1:18" s="166" customFormat="1" ht="15.75" customHeight="1">
      <c r="A438" s="491" t="s">
        <v>868</v>
      </c>
      <c r="B438" s="153" t="s">
        <v>869</v>
      </c>
      <c r="C438" s="145"/>
      <c r="D438" s="145"/>
      <c r="E438" s="145"/>
      <c r="F438" s="145"/>
      <c r="G438" s="145"/>
      <c r="H438" s="145"/>
      <c r="I438" s="150"/>
      <c r="J438" s="150"/>
      <c r="K438" s="150"/>
      <c r="L438" s="153" t="s">
        <v>37</v>
      </c>
      <c r="M438" s="153" t="s">
        <v>40</v>
      </c>
      <c r="N438" s="147">
        <f>SUM(N439:N440)</f>
        <v>17384</v>
      </c>
      <c r="O438" s="147">
        <f>SUM(O439:O440)</f>
        <v>17384</v>
      </c>
      <c r="P438" s="147">
        <f>SUM(P439:P440)</f>
        <v>0</v>
      </c>
      <c r="Q438" s="147">
        <f>SUM(Q439:Q440)</f>
        <v>0</v>
      </c>
      <c r="R438" s="147">
        <f>SUM(R439:R440)</f>
        <v>0</v>
      </c>
    </row>
    <row r="439" spans="1:18" s="166" customFormat="1" ht="72">
      <c r="A439" s="546"/>
      <c r="B439" s="151" t="s">
        <v>568</v>
      </c>
      <c r="C439" s="110"/>
      <c r="D439" s="110"/>
      <c r="E439" s="110"/>
      <c r="F439" s="110"/>
      <c r="G439" s="110"/>
      <c r="H439" s="110"/>
      <c r="I439" s="150" t="s">
        <v>1095</v>
      </c>
      <c r="J439" s="150" t="s">
        <v>70</v>
      </c>
      <c r="K439" s="150" t="s">
        <v>767</v>
      </c>
      <c r="L439" s="155"/>
      <c r="M439" s="155"/>
      <c r="N439" s="156">
        <v>5384</v>
      </c>
      <c r="O439" s="156">
        <v>5384</v>
      </c>
      <c r="P439" s="156">
        <v>0</v>
      </c>
      <c r="Q439" s="156">
        <v>0</v>
      </c>
      <c r="R439" s="156">
        <v>0</v>
      </c>
    </row>
    <row r="440" spans="1:18" s="166" customFormat="1" ht="108">
      <c r="A440" s="279"/>
      <c r="B440" s="151" t="s">
        <v>758</v>
      </c>
      <c r="C440" s="110"/>
      <c r="D440" s="110"/>
      <c r="E440" s="110"/>
      <c r="F440" s="110"/>
      <c r="G440" s="110"/>
      <c r="H440" s="110"/>
      <c r="I440" s="150" t="s">
        <v>1096</v>
      </c>
      <c r="J440" s="150" t="s">
        <v>70</v>
      </c>
      <c r="K440" s="150" t="s">
        <v>779</v>
      </c>
      <c r="L440" s="155"/>
      <c r="M440" s="155"/>
      <c r="N440" s="156">
        <v>12000</v>
      </c>
      <c r="O440" s="156">
        <v>12000</v>
      </c>
      <c r="P440" s="156">
        <v>0</v>
      </c>
      <c r="Q440" s="156">
        <v>0</v>
      </c>
      <c r="R440" s="156">
        <v>0</v>
      </c>
    </row>
    <row r="441" spans="1:18" s="166" customFormat="1" ht="60">
      <c r="A441" s="110" t="s">
        <v>873</v>
      </c>
      <c r="B441" s="155" t="s">
        <v>874</v>
      </c>
      <c r="C441" s="110"/>
      <c r="D441" s="110"/>
      <c r="E441" s="110"/>
      <c r="F441" s="110"/>
      <c r="G441" s="110"/>
      <c r="H441" s="110"/>
      <c r="I441" s="150"/>
      <c r="J441" s="150"/>
      <c r="K441" s="150"/>
      <c r="L441" s="155"/>
      <c r="M441" s="155"/>
      <c r="N441" s="148">
        <f>SUM(N442:N443)</f>
        <v>300</v>
      </c>
      <c r="O441" s="148">
        <f>SUM(O442:O443)</f>
        <v>300</v>
      </c>
      <c r="P441" s="148">
        <f>SUM(P442:P443)</f>
        <v>0</v>
      </c>
      <c r="Q441" s="148">
        <f>SUM(Q442:Q443)</f>
        <v>0</v>
      </c>
      <c r="R441" s="148">
        <f>SUM(R442:R443)</f>
        <v>0</v>
      </c>
    </row>
    <row r="442" spans="1:18" s="166" customFormat="1" ht="60">
      <c r="A442" s="149" t="s">
        <v>875</v>
      </c>
      <c r="B442" s="151" t="s">
        <v>524</v>
      </c>
      <c r="C442" s="149"/>
      <c r="D442" s="149"/>
      <c r="E442" s="149"/>
      <c r="F442" s="149"/>
      <c r="G442" s="149"/>
      <c r="H442" s="149"/>
      <c r="I442" s="150" t="s">
        <v>676</v>
      </c>
      <c r="J442" s="150" t="s">
        <v>70</v>
      </c>
      <c r="K442" s="150" t="s">
        <v>677</v>
      </c>
      <c r="L442" s="151" t="s">
        <v>32</v>
      </c>
      <c r="M442" s="151" t="s">
        <v>26</v>
      </c>
      <c r="N442" s="156">
        <v>100</v>
      </c>
      <c r="O442" s="156">
        <v>100</v>
      </c>
      <c r="P442" s="156">
        <v>0</v>
      </c>
      <c r="Q442" s="156">
        <v>0</v>
      </c>
      <c r="R442" s="156">
        <v>0</v>
      </c>
    </row>
    <row r="443" spans="1:18" s="166" customFormat="1" ht="84">
      <c r="A443" s="149" t="s">
        <v>1151</v>
      </c>
      <c r="B443" s="151" t="s">
        <v>723</v>
      </c>
      <c r="C443" s="149"/>
      <c r="D443" s="149"/>
      <c r="E443" s="149"/>
      <c r="F443" s="149"/>
      <c r="G443" s="149"/>
      <c r="H443" s="149"/>
      <c r="I443" s="58" t="s">
        <v>1097</v>
      </c>
      <c r="J443" s="58" t="s">
        <v>70</v>
      </c>
      <c r="K443" s="58" t="s">
        <v>754</v>
      </c>
      <c r="L443" s="151" t="s">
        <v>32</v>
      </c>
      <c r="M443" s="151" t="s">
        <v>26</v>
      </c>
      <c r="N443" s="156">
        <v>200</v>
      </c>
      <c r="O443" s="156">
        <v>200</v>
      </c>
      <c r="P443" s="156">
        <v>0</v>
      </c>
      <c r="Q443" s="156">
        <v>0</v>
      </c>
      <c r="R443" s="156">
        <v>0</v>
      </c>
    </row>
    <row r="444" spans="1:18" s="167" customFormat="1" ht="49.5" customHeight="1">
      <c r="A444" s="90" t="s">
        <v>876</v>
      </c>
      <c r="B444" s="91">
        <v>2313</v>
      </c>
      <c r="C444" s="90" t="s">
        <v>31</v>
      </c>
      <c r="D444" s="90" t="s">
        <v>31</v>
      </c>
      <c r="E444" s="90" t="s">
        <v>31</v>
      </c>
      <c r="F444" s="90" t="s">
        <v>31</v>
      </c>
      <c r="G444" s="90" t="s">
        <v>31</v>
      </c>
      <c r="H444" s="90" t="s">
        <v>31</v>
      </c>
      <c r="I444" s="90" t="s">
        <v>31</v>
      </c>
      <c r="J444" s="90" t="s">
        <v>31</v>
      </c>
      <c r="K444" s="90" t="s">
        <v>31</v>
      </c>
      <c r="L444" s="91" t="s">
        <v>41</v>
      </c>
      <c r="M444" s="91" t="s">
        <v>38</v>
      </c>
      <c r="N444" s="92">
        <f>SUM(N445:N446)</f>
        <v>4327</v>
      </c>
      <c r="O444" s="92">
        <f>SUM(O445:O446)</f>
        <v>4201.088</v>
      </c>
      <c r="P444" s="92">
        <f>SUM(P445:P446)</f>
        <v>0</v>
      </c>
      <c r="Q444" s="92">
        <f>SUM(Q445:Q446)</f>
        <v>0</v>
      </c>
      <c r="R444" s="92">
        <f>SUM(R445:R446)</f>
        <v>0</v>
      </c>
    </row>
    <row r="445" spans="1:18" s="166" customFormat="1" ht="60">
      <c r="A445" s="267" t="s">
        <v>989</v>
      </c>
      <c r="B445" s="268" t="s">
        <v>525</v>
      </c>
      <c r="C445" s="267"/>
      <c r="D445" s="267"/>
      <c r="E445" s="267"/>
      <c r="F445" s="278"/>
      <c r="G445" s="278"/>
      <c r="H445" s="278"/>
      <c r="I445" s="451" t="s">
        <v>698</v>
      </c>
      <c r="J445" s="451" t="s">
        <v>70</v>
      </c>
      <c r="K445" s="451" t="s">
        <v>699</v>
      </c>
      <c r="L445" s="268" t="s">
        <v>41</v>
      </c>
      <c r="M445" s="268" t="s">
        <v>38</v>
      </c>
      <c r="N445" s="365">
        <v>3500</v>
      </c>
      <c r="O445" s="365">
        <v>3374.088</v>
      </c>
      <c r="P445" s="365">
        <v>0</v>
      </c>
      <c r="Q445" s="365">
        <v>0</v>
      </c>
      <c r="R445" s="366">
        <v>0</v>
      </c>
    </row>
    <row r="446" spans="1:18" s="166" customFormat="1" ht="72">
      <c r="A446" s="149" t="s">
        <v>990</v>
      </c>
      <c r="B446" s="151" t="s">
        <v>555</v>
      </c>
      <c r="C446" s="149"/>
      <c r="D446" s="149"/>
      <c r="E446" s="149"/>
      <c r="F446" s="280"/>
      <c r="G446" s="280"/>
      <c r="H446" s="280"/>
      <c r="I446" s="253" t="s">
        <v>761</v>
      </c>
      <c r="J446" s="253" t="s">
        <v>70</v>
      </c>
      <c r="K446" s="253" t="s">
        <v>762</v>
      </c>
      <c r="L446" s="151" t="s">
        <v>41</v>
      </c>
      <c r="M446" s="151" t="s">
        <v>38</v>
      </c>
      <c r="N446" s="156">
        <v>827</v>
      </c>
      <c r="O446" s="156">
        <v>827</v>
      </c>
      <c r="P446" s="156">
        <v>0</v>
      </c>
      <c r="Q446" s="156">
        <v>0</v>
      </c>
      <c r="R446" s="156">
        <v>0</v>
      </c>
    </row>
    <row r="447" spans="1:18" s="167" customFormat="1" ht="48" hidden="1">
      <c r="A447" s="142" t="s">
        <v>877</v>
      </c>
      <c r="B447" s="106">
        <v>2314</v>
      </c>
      <c r="C447" s="142" t="s">
        <v>31</v>
      </c>
      <c r="D447" s="142" t="s">
        <v>31</v>
      </c>
      <c r="E447" s="142" t="s">
        <v>31</v>
      </c>
      <c r="F447" s="142" t="s">
        <v>31</v>
      </c>
      <c r="G447" s="142" t="s">
        <v>31</v>
      </c>
      <c r="H447" s="142" t="s">
        <v>31</v>
      </c>
      <c r="I447" s="142" t="s">
        <v>31</v>
      </c>
      <c r="J447" s="142" t="s">
        <v>31</v>
      </c>
      <c r="K447" s="142" t="s">
        <v>31</v>
      </c>
      <c r="L447" s="106"/>
      <c r="M447" s="106"/>
      <c r="N447" s="195">
        <f>SUM(N448:N448)</f>
        <v>0</v>
      </c>
      <c r="O447" s="195">
        <f>SUM(O448:O448)</f>
        <v>0</v>
      </c>
      <c r="P447" s="195">
        <f>SUM(P448:P448)</f>
        <v>0</v>
      </c>
      <c r="Q447" s="195">
        <f>SUM(Q448:Q448)</f>
        <v>0</v>
      </c>
      <c r="R447" s="195">
        <f>SUM(R448:R448)</f>
        <v>0</v>
      </c>
    </row>
    <row r="448" spans="1:18" s="166" customFormat="1" ht="12" hidden="1">
      <c r="A448" s="196"/>
      <c r="B448" s="119"/>
      <c r="C448" s="157"/>
      <c r="D448" s="157"/>
      <c r="E448" s="157"/>
      <c r="F448" s="157"/>
      <c r="G448" s="157"/>
      <c r="H448" s="157"/>
      <c r="I448" s="25"/>
      <c r="J448" s="25"/>
      <c r="K448" s="257"/>
      <c r="L448" s="119"/>
      <c r="M448" s="119"/>
      <c r="N448" s="158"/>
      <c r="O448" s="158"/>
      <c r="P448" s="158"/>
      <c r="Q448" s="158"/>
      <c r="R448" s="158"/>
    </row>
    <row r="449" spans="1:18" s="167" customFormat="1" ht="60">
      <c r="A449" s="145" t="s">
        <v>879</v>
      </c>
      <c r="B449" s="146" t="s">
        <v>878</v>
      </c>
      <c r="C449" s="145"/>
      <c r="D449" s="145"/>
      <c r="E449" s="145"/>
      <c r="F449" s="145"/>
      <c r="G449" s="145"/>
      <c r="H449" s="145"/>
      <c r="I449" s="400"/>
      <c r="J449" s="400"/>
      <c r="K449" s="400"/>
      <c r="L449" s="153"/>
      <c r="M449" s="153"/>
      <c r="N449" s="147">
        <f>SUM(N450:N457)</f>
        <v>1467.1</v>
      </c>
      <c r="O449" s="147">
        <f>SUM(O450:O457)</f>
        <v>1467.1</v>
      </c>
      <c r="P449" s="147">
        <f>SUM(P450:P457)</f>
        <v>38273.346020000005</v>
      </c>
      <c r="Q449" s="147">
        <f>SUM(Q450:Q457)</f>
        <v>0</v>
      </c>
      <c r="R449" s="147">
        <f>SUM(R450:R457)</f>
        <v>0</v>
      </c>
    </row>
    <row r="450" spans="1:18" s="166" customFormat="1" ht="72.75" customHeight="1">
      <c r="A450" s="149" t="s">
        <v>1299</v>
      </c>
      <c r="B450" s="151" t="s">
        <v>1298</v>
      </c>
      <c r="C450" s="149"/>
      <c r="D450" s="149"/>
      <c r="E450" s="149"/>
      <c r="F450" s="149"/>
      <c r="G450" s="149"/>
      <c r="H450" s="149"/>
      <c r="I450" s="41" t="s">
        <v>1342</v>
      </c>
      <c r="J450" s="41" t="s">
        <v>70</v>
      </c>
      <c r="K450" s="41" t="s">
        <v>1341</v>
      </c>
      <c r="L450" s="151" t="s">
        <v>37</v>
      </c>
      <c r="M450" s="151" t="s">
        <v>23</v>
      </c>
      <c r="N450" s="156">
        <v>1467.1</v>
      </c>
      <c r="O450" s="156">
        <v>1467.1</v>
      </c>
      <c r="P450" s="156">
        <v>1500</v>
      </c>
      <c r="Q450" s="156">
        <v>0</v>
      </c>
      <c r="R450" s="156">
        <v>0</v>
      </c>
    </row>
    <row r="451" spans="1:18" s="166" customFormat="1" ht="24.75" customHeight="1">
      <c r="A451" s="616" t="s">
        <v>1300</v>
      </c>
      <c r="B451" s="151" t="s">
        <v>1281</v>
      </c>
      <c r="C451" s="623"/>
      <c r="D451" s="623"/>
      <c r="E451" s="623"/>
      <c r="F451" s="584"/>
      <c r="G451" s="584"/>
      <c r="H451" s="584"/>
      <c r="I451" s="603" t="s">
        <v>464</v>
      </c>
      <c r="J451" s="603" t="s">
        <v>70</v>
      </c>
      <c r="K451" s="604" t="s">
        <v>355</v>
      </c>
      <c r="L451" s="151" t="s">
        <v>37</v>
      </c>
      <c r="M451" s="151" t="s">
        <v>35</v>
      </c>
      <c r="N451" s="487">
        <v>0</v>
      </c>
      <c r="O451" s="487">
        <v>0</v>
      </c>
      <c r="P451" s="487">
        <v>46.31727</v>
      </c>
      <c r="Q451" s="487">
        <v>0</v>
      </c>
      <c r="R451" s="487">
        <v>0</v>
      </c>
    </row>
    <row r="452" spans="1:18" s="166" customFormat="1" ht="24.75" customHeight="1">
      <c r="A452" s="616"/>
      <c r="B452" s="151" t="s">
        <v>1283</v>
      </c>
      <c r="C452" s="624"/>
      <c r="D452" s="624"/>
      <c r="E452" s="624"/>
      <c r="F452" s="592"/>
      <c r="G452" s="592"/>
      <c r="H452" s="592"/>
      <c r="I452" s="490"/>
      <c r="J452" s="490"/>
      <c r="K452" s="489"/>
      <c r="L452" s="151" t="s">
        <v>37</v>
      </c>
      <c r="M452" s="151" t="s">
        <v>35</v>
      </c>
      <c r="N452" s="487">
        <v>0</v>
      </c>
      <c r="O452" s="487">
        <v>0</v>
      </c>
      <c r="P452" s="487">
        <v>404.47456</v>
      </c>
      <c r="Q452" s="487">
        <v>0</v>
      </c>
      <c r="R452" s="487">
        <v>0</v>
      </c>
    </row>
    <row r="453" spans="1:18" s="166" customFormat="1" ht="24.75" customHeight="1">
      <c r="A453" s="616"/>
      <c r="B453" s="151" t="s">
        <v>1284</v>
      </c>
      <c r="C453" s="625"/>
      <c r="D453" s="625"/>
      <c r="E453" s="625"/>
      <c r="F453" s="601"/>
      <c r="G453" s="601"/>
      <c r="H453" s="601"/>
      <c r="I453" s="618"/>
      <c r="J453" s="618"/>
      <c r="K453" s="619"/>
      <c r="L453" s="151" t="s">
        <v>37</v>
      </c>
      <c r="M453" s="151" t="s">
        <v>35</v>
      </c>
      <c r="N453" s="487">
        <v>0</v>
      </c>
      <c r="O453" s="487">
        <v>0</v>
      </c>
      <c r="P453" s="487">
        <v>82.84419</v>
      </c>
      <c r="Q453" s="487">
        <v>0</v>
      </c>
      <c r="R453" s="487">
        <v>0</v>
      </c>
    </row>
    <row r="454" spans="1:18" s="166" customFormat="1" ht="24.75" customHeight="1">
      <c r="A454" s="616" t="s">
        <v>1301</v>
      </c>
      <c r="B454" s="151" t="s">
        <v>1282</v>
      </c>
      <c r="C454" s="623"/>
      <c r="D454" s="623"/>
      <c r="E454" s="623"/>
      <c r="F454" s="584"/>
      <c r="G454" s="584"/>
      <c r="H454" s="584"/>
      <c r="I454" s="603" t="s">
        <v>464</v>
      </c>
      <c r="J454" s="603" t="s">
        <v>70</v>
      </c>
      <c r="K454" s="604" t="s">
        <v>355</v>
      </c>
      <c r="L454" s="151" t="s">
        <v>37</v>
      </c>
      <c r="M454" s="151" t="s">
        <v>35</v>
      </c>
      <c r="N454" s="487">
        <v>0</v>
      </c>
      <c r="O454" s="487">
        <v>0</v>
      </c>
      <c r="P454" s="487">
        <v>3110.4947</v>
      </c>
      <c r="Q454" s="487">
        <v>0</v>
      </c>
      <c r="R454" s="487">
        <v>0</v>
      </c>
    </row>
    <row r="455" spans="1:18" s="166" customFormat="1" ht="24.75" customHeight="1">
      <c r="A455" s="616"/>
      <c r="B455" s="151" t="s">
        <v>1285</v>
      </c>
      <c r="C455" s="624"/>
      <c r="D455" s="624"/>
      <c r="E455" s="624"/>
      <c r="F455" s="592"/>
      <c r="G455" s="592"/>
      <c r="H455" s="592"/>
      <c r="I455" s="490"/>
      <c r="J455" s="490"/>
      <c r="K455" s="489"/>
      <c r="L455" s="151" t="s">
        <v>37</v>
      </c>
      <c r="M455" s="151" t="s">
        <v>35</v>
      </c>
      <c r="N455" s="487">
        <v>0</v>
      </c>
      <c r="O455" s="487">
        <v>0</v>
      </c>
      <c r="P455" s="487">
        <v>21689</v>
      </c>
      <c r="Q455" s="487">
        <v>0</v>
      </c>
      <c r="R455" s="487">
        <v>0</v>
      </c>
    </row>
    <row r="456" spans="1:18" s="166" customFormat="1" ht="24.75" customHeight="1">
      <c r="A456" s="616"/>
      <c r="B456" s="151" t="s">
        <v>1286</v>
      </c>
      <c r="C456" s="624"/>
      <c r="D456" s="624"/>
      <c r="E456" s="624"/>
      <c r="F456" s="592"/>
      <c r="G456" s="592"/>
      <c r="H456" s="592"/>
      <c r="I456" s="618"/>
      <c r="J456" s="618"/>
      <c r="K456" s="619"/>
      <c r="L456" s="151" t="s">
        <v>37</v>
      </c>
      <c r="M456" s="151" t="s">
        <v>35</v>
      </c>
      <c r="N456" s="487">
        <v>0</v>
      </c>
      <c r="O456" s="487">
        <v>0</v>
      </c>
      <c r="P456" s="487">
        <v>4442.3253</v>
      </c>
      <c r="Q456" s="487">
        <v>0</v>
      </c>
      <c r="R456" s="487">
        <v>0</v>
      </c>
    </row>
    <row r="457" spans="1:18" s="166" customFormat="1" ht="72" customHeight="1">
      <c r="A457" s="616"/>
      <c r="B457" s="151" t="s">
        <v>524</v>
      </c>
      <c r="C457" s="625"/>
      <c r="D457" s="625"/>
      <c r="E457" s="625"/>
      <c r="F457" s="601"/>
      <c r="G457" s="601"/>
      <c r="H457" s="601"/>
      <c r="I457" s="485" t="s">
        <v>1337</v>
      </c>
      <c r="J457" s="485" t="s">
        <v>70</v>
      </c>
      <c r="K457" s="485" t="s">
        <v>1338</v>
      </c>
      <c r="L457" s="151" t="s">
        <v>37</v>
      </c>
      <c r="M457" s="151" t="s">
        <v>35</v>
      </c>
      <c r="N457" s="156">
        <v>0</v>
      </c>
      <c r="O457" s="156">
        <v>0</v>
      </c>
      <c r="P457" s="156">
        <v>6997.89</v>
      </c>
      <c r="Q457" s="156">
        <v>0</v>
      </c>
      <c r="R457" s="156">
        <v>0</v>
      </c>
    </row>
    <row r="458" spans="1:18" s="167" customFormat="1" ht="72">
      <c r="A458" s="488" t="s">
        <v>1312</v>
      </c>
      <c r="B458" s="155" t="s">
        <v>1304</v>
      </c>
      <c r="C458" s="110"/>
      <c r="D458" s="110"/>
      <c r="E458" s="110"/>
      <c r="F458" s="110"/>
      <c r="G458" s="110"/>
      <c r="H458" s="110"/>
      <c r="I458" s="41" t="s">
        <v>1329</v>
      </c>
      <c r="J458" s="41" t="s">
        <v>70</v>
      </c>
      <c r="K458" s="41" t="s">
        <v>1330</v>
      </c>
      <c r="L458" s="155" t="s">
        <v>40</v>
      </c>
      <c r="M458" s="155" t="s">
        <v>32</v>
      </c>
      <c r="N458" s="148">
        <v>0</v>
      </c>
      <c r="O458" s="148">
        <v>0</v>
      </c>
      <c r="P458" s="148">
        <v>480</v>
      </c>
      <c r="Q458" s="148">
        <v>0</v>
      </c>
      <c r="R458" s="148">
        <v>0</v>
      </c>
    </row>
    <row r="459" spans="1:18" s="167" customFormat="1" ht="49.5" customHeight="1">
      <c r="A459" s="110" t="s">
        <v>880</v>
      </c>
      <c r="B459" s="83">
        <v>2320</v>
      </c>
      <c r="C459" s="110"/>
      <c r="D459" s="110"/>
      <c r="E459" s="110"/>
      <c r="F459" s="110"/>
      <c r="G459" s="110"/>
      <c r="H459" s="110"/>
      <c r="I459" s="41"/>
      <c r="J459" s="41"/>
      <c r="K459" s="41"/>
      <c r="L459" s="155"/>
      <c r="M459" s="155"/>
      <c r="N459" s="148">
        <f>SUM(N460:N460)</f>
        <v>5658.9</v>
      </c>
      <c r="O459" s="148">
        <f>SUM(O460:O460)</f>
        <v>5658.9</v>
      </c>
      <c r="P459" s="148">
        <f>SUM(P460:P460)</f>
        <v>6009.4</v>
      </c>
      <c r="Q459" s="148">
        <f>SUM(Q460:Q460)</f>
        <v>0</v>
      </c>
      <c r="R459" s="148">
        <f>SUM(R460:R460)</f>
        <v>0</v>
      </c>
    </row>
    <row r="460" spans="1:18" s="166" customFormat="1" ht="94.5" customHeight="1">
      <c r="A460" s="78" t="s">
        <v>1152</v>
      </c>
      <c r="B460" s="117" t="s">
        <v>487</v>
      </c>
      <c r="C460" s="65" t="s">
        <v>600</v>
      </c>
      <c r="D460" s="65" t="s">
        <v>601</v>
      </c>
      <c r="E460" s="65" t="s">
        <v>58</v>
      </c>
      <c r="F460" s="36" t="s">
        <v>336</v>
      </c>
      <c r="G460" s="36" t="s">
        <v>337</v>
      </c>
      <c r="H460" s="36" t="s">
        <v>146</v>
      </c>
      <c r="I460" s="36" t="s">
        <v>736</v>
      </c>
      <c r="J460" s="36" t="s">
        <v>70</v>
      </c>
      <c r="K460" s="36" t="s">
        <v>612</v>
      </c>
      <c r="L460" s="65" t="s">
        <v>24</v>
      </c>
      <c r="M460" s="65" t="s">
        <v>32</v>
      </c>
      <c r="N460" s="322">
        <v>5658.9</v>
      </c>
      <c r="O460" s="322">
        <v>5658.9</v>
      </c>
      <c r="P460" s="322">
        <v>6009.4</v>
      </c>
      <c r="Q460" s="322">
        <v>0</v>
      </c>
      <c r="R460" s="367">
        <v>0</v>
      </c>
    </row>
    <row r="461" spans="1:18" s="167" customFormat="1" ht="60">
      <c r="A461" s="142" t="s">
        <v>881</v>
      </c>
      <c r="B461" s="191" t="s">
        <v>882</v>
      </c>
      <c r="C461" s="142"/>
      <c r="D461" s="142"/>
      <c r="E461" s="142"/>
      <c r="F461" s="142"/>
      <c r="G461" s="142"/>
      <c r="H461" s="142"/>
      <c r="I461" s="142"/>
      <c r="J461" s="142"/>
      <c r="K461" s="142"/>
      <c r="L461" s="106"/>
      <c r="M461" s="106"/>
      <c r="N461" s="143">
        <f>SUM(N463:N464)</f>
        <v>817.36</v>
      </c>
      <c r="O461" s="143">
        <f>SUM(O463:O464)</f>
        <v>817.36</v>
      </c>
      <c r="P461" s="143">
        <f>SUM(P463:P464)</f>
        <v>291</v>
      </c>
      <c r="Q461" s="143">
        <f>SUM(Q463:Q464)</f>
        <v>0</v>
      </c>
      <c r="R461" s="143">
        <f>SUM(R463:R464)</f>
        <v>0</v>
      </c>
    </row>
    <row r="462" spans="1:18" s="167" customFormat="1" ht="12">
      <c r="A462" s="69" t="s">
        <v>100</v>
      </c>
      <c r="B462" s="242"/>
      <c r="C462" s="69"/>
      <c r="D462" s="69"/>
      <c r="E462" s="69"/>
      <c r="F462" s="69"/>
      <c r="G462" s="69"/>
      <c r="H462" s="69"/>
      <c r="I462" s="69"/>
      <c r="J462" s="69"/>
      <c r="K462" s="69"/>
      <c r="L462" s="65"/>
      <c r="M462" s="65"/>
      <c r="N462" s="69"/>
      <c r="O462" s="69"/>
      <c r="P462" s="69"/>
      <c r="Q462" s="69"/>
      <c r="R462" s="69"/>
    </row>
    <row r="463" spans="1:18" s="168" customFormat="1" ht="12">
      <c r="A463" s="71"/>
      <c r="B463" s="243"/>
      <c r="C463" s="71"/>
      <c r="D463" s="71"/>
      <c r="E463" s="71"/>
      <c r="F463" s="71"/>
      <c r="G463" s="71"/>
      <c r="H463" s="71"/>
      <c r="I463" s="71"/>
      <c r="J463" s="71"/>
      <c r="K463" s="71"/>
      <c r="L463" s="160" t="s">
        <v>24</v>
      </c>
      <c r="M463" s="160" t="s">
        <v>32</v>
      </c>
      <c r="N463" s="73"/>
      <c r="O463" s="73"/>
      <c r="P463" s="73"/>
      <c r="Q463" s="73"/>
      <c r="R463" s="73"/>
    </row>
    <row r="464" spans="1:18" s="168" customFormat="1" ht="12">
      <c r="A464" s="71"/>
      <c r="B464" s="243"/>
      <c r="C464" s="71"/>
      <c r="D464" s="71"/>
      <c r="E464" s="71"/>
      <c r="F464" s="71"/>
      <c r="G464" s="71"/>
      <c r="H464" s="71"/>
      <c r="I464" s="71"/>
      <c r="J464" s="71"/>
      <c r="K464" s="71"/>
      <c r="L464" s="72" t="s">
        <v>24</v>
      </c>
      <c r="M464" s="72" t="s">
        <v>36</v>
      </c>
      <c r="N464" s="73">
        <f>SUM(N465:N473)</f>
        <v>817.36</v>
      </c>
      <c r="O464" s="73">
        <f>SUM(O465:O473)</f>
        <v>817.36</v>
      </c>
      <c r="P464" s="73">
        <f>SUM(P465:P476)</f>
        <v>291</v>
      </c>
      <c r="Q464" s="73">
        <f>SUM(Q465:Q474)</f>
        <v>0</v>
      </c>
      <c r="R464" s="73">
        <f>SUM(R465:R474)</f>
        <v>0</v>
      </c>
    </row>
    <row r="465" spans="1:18" s="166" customFormat="1" ht="60.75" customHeight="1">
      <c r="A465" s="149" t="s">
        <v>993</v>
      </c>
      <c r="B465" s="151" t="s">
        <v>499</v>
      </c>
      <c r="C465" s="149"/>
      <c r="D465" s="149"/>
      <c r="E465" s="149"/>
      <c r="F465" s="149"/>
      <c r="G465" s="149"/>
      <c r="H465" s="149"/>
      <c r="I465" s="58" t="s">
        <v>610</v>
      </c>
      <c r="J465" s="58" t="s">
        <v>70</v>
      </c>
      <c r="K465" s="58" t="s">
        <v>611</v>
      </c>
      <c r="L465" s="151" t="s">
        <v>24</v>
      </c>
      <c r="M465" s="151" t="s">
        <v>36</v>
      </c>
      <c r="N465" s="161">
        <v>100</v>
      </c>
      <c r="O465" s="161">
        <v>100</v>
      </c>
      <c r="P465" s="161">
        <v>0</v>
      </c>
      <c r="Q465" s="161">
        <v>0</v>
      </c>
      <c r="R465" s="161">
        <v>0</v>
      </c>
    </row>
    <row r="466" spans="1:18" s="166" customFormat="1" ht="72">
      <c r="A466" s="149" t="s">
        <v>994</v>
      </c>
      <c r="B466" s="151" t="s">
        <v>512</v>
      </c>
      <c r="C466" s="149"/>
      <c r="D466" s="149"/>
      <c r="E466" s="149"/>
      <c r="F466" s="149"/>
      <c r="G466" s="149"/>
      <c r="H466" s="149"/>
      <c r="I466" s="58" t="s">
        <v>671</v>
      </c>
      <c r="J466" s="58" t="s">
        <v>70</v>
      </c>
      <c r="K466" s="58" t="s">
        <v>672</v>
      </c>
      <c r="L466" s="151" t="s">
        <v>24</v>
      </c>
      <c r="M466" s="151" t="s">
        <v>36</v>
      </c>
      <c r="N466" s="161">
        <v>78</v>
      </c>
      <c r="O466" s="161">
        <v>78</v>
      </c>
      <c r="P466" s="161">
        <v>0</v>
      </c>
      <c r="Q466" s="161">
        <v>0</v>
      </c>
      <c r="R466" s="161">
        <v>0</v>
      </c>
    </row>
    <row r="467" spans="1:18" s="166" customFormat="1" ht="50.25" customHeight="1">
      <c r="A467" s="149" t="s">
        <v>995</v>
      </c>
      <c r="B467" s="151" t="s">
        <v>546</v>
      </c>
      <c r="C467" s="149"/>
      <c r="D467" s="149"/>
      <c r="E467" s="149"/>
      <c r="F467" s="149"/>
      <c r="G467" s="149"/>
      <c r="H467" s="149"/>
      <c r="I467" s="58" t="s">
        <v>743</v>
      </c>
      <c r="J467" s="58" t="s">
        <v>70</v>
      </c>
      <c r="K467" s="58" t="s">
        <v>744</v>
      </c>
      <c r="L467" s="151" t="s">
        <v>24</v>
      </c>
      <c r="M467" s="151" t="s">
        <v>36</v>
      </c>
      <c r="N467" s="161">
        <v>80</v>
      </c>
      <c r="O467" s="161">
        <v>80</v>
      </c>
      <c r="P467" s="161">
        <v>0</v>
      </c>
      <c r="Q467" s="161">
        <v>0</v>
      </c>
      <c r="R467" s="161">
        <v>0</v>
      </c>
    </row>
    <row r="468" spans="1:18" s="166" customFormat="1" ht="72">
      <c r="A468" s="149" t="s">
        <v>996</v>
      </c>
      <c r="B468" s="151" t="s">
        <v>553</v>
      </c>
      <c r="C468" s="149"/>
      <c r="D468" s="149"/>
      <c r="E468" s="149"/>
      <c r="F468" s="149"/>
      <c r="G468" s="149"/>
      <c r="H468" s="149"/>
      <c r="I468" s="58" t="s">
        <v>750</v>
      </c>
      <c r="J468" s="58" t="s">
        <v>70</v>
      </c>
      <c r="K468" s="58" t="s">
        <v>751</v>
      </c>
      <c r="L468" s="151" t="s">
        <v>24</v>
      </c>
      <c r="M468" s="151" t="s">
        <v>36</v>
      </c>
      <c r="N468" s="161">
        <v>78</v>
      </c>
      <c r="O468" s="161">
        <v>78</v>
      </c>
      <c r="P468" s="161">
        <v>0</v>
      </c>
      <c r="Q468" s="161">
        <v>0</v>
      </c>
      <c r="R468" s="161">
        <v>0</v>
      </c>
    </row>
    <row r="469" spans="1:18" s="166" customFormat="1" ht="60">
      <c r="A469" s="152" t="s">
        <v>997</v>
      </c>
      <c r="B469" s="268" t="s">
        <v>509</v>
      </c>
      <c r="C469" s="267"/>
      <c r="D469" s="267"/>
      <c r="E469" s="267"/>
      <c r="F469" s="267"/>
      <c r="G469" s="267"/>
      <c r="H469" s="267"/>
      <c r="I469" s="18" t="s">
        <v>650</v>
      </c>
      <c r="J469" s="425" t="s">
        <v>70</v>
      </c>
      <c r="K469" s="425" t="s">
        <v>655</v>
      </c>
      <c r="L469" s="268" t="s">
        <v>24</v>
      </c>
      <c r="M469" s="268" t="s">
        <v>36</v>
      </c>
      <c r="N469" s="368">
        <v>190</v>
      </c>
      <c r="O469" s="368">
        <v>190</v>
      </c>
      <c r="P469" s="368">
        <v>0</v>
      </c>
      <c r="Q469" s="368">
        <v>0</v>
      </c>
      <c r="R469" s="369">
        <v>0</v>
      </c>
    </row>
    <row r="470" spans="1:18" s="166" customFormat="1" ht="60">
      <c r="A470" s="149" t="s">
        <v>998</v>
      </c>
      <c r="B470" s="151" t="s">
        <v>518</v>
      </c>
      <c r="C470" s="149"/>
      <c r="D470" s="149"/>
      <c r="E470" s="149"/>
      <c r="F470" s="149"/>
      <c r="G470" s="149"/>
      <c r="H470" s="149"/>
      <c r="I470" s="58" t="s">
        <v>669</v>
      </c>
      <c r="J470" s="58" t="s">
        <v>70</v>
      </c>
      <c r="K470" s="58" t="s">
        <v>670</v>
      </c>
      <c r="L470" s="151" t="s">
        <v>24</v>
      </c>
      <c r="M470" s="151" t="s">
        <v>36</v>
      </c>
      <c r="N470" s="161">
        <v>80.86</v>
      </c>
      <c r="O470" s="161">
        <v>80.86</v>
      </c>
      <c r="P470" s="161">
        <v>0</v>
      </c>
      <c r="Q470" s="161">
        <v>0</v>
      </c>
      <c r="R470" s="161">
        <v>0</v>
      </c>
    </row>
    <row r="471" spans="1:18" s="166" customFormat="1" ht="60">
      <c r="A471" s="149" t="s">
        <v>999</v>
      </c>
      <c r="B471" s="151" t="s">
        <v>722</v>
      </c>
      <c r="C471" s="149"/>
      <c r="D471" s="149"/>
      <c r="E471" s="149"/>
      <c r="F471" s="149"/>
      <c r="G471" s="149"/>
      <c r="H471" s="149"/>
      <c r="I471" s="58" t="s">
        <v>717</v>
      </c>
      <c r="J471" s="58" t="s">
        <v>70</v>
      </c>
      <c r="K471" s="58" t="s">
        <v>719</v>
      </c>
      <c r="L471" s="151" t="s">
        <v>24</v>
      </c>
      <c r="M471" s="151" t="s">
        <v>36</v>
      </c>
      <c r="N471" s="161">
        <v>70</v>
      </c>
      <c r="O471" s="161">
        <v>70</v>
      </c>
      <c r="P471" s="161">
        <v>0</v>
      </c>
      <c r="Q471" s="161">
        <v>0</v>
      </c>
      <c r="R471" s="161">
        <v>0</v>
      </c>
    </row>
    <row r="472" spans="1:18" s="166" customFormat="1" ht="60" customHeight="1">
      <c r="A472" s="201" t="s">
        <v>1001</v>
      </c>
      <c r="B472" s="151" t="s">
        <v>565</v>
      </c>
      <c r="C472" s="149"/>
      <c r="D472" s="149"/>
      <c r="E472" s="149"/>
      <c r="F472" s="150"/>
      <c r="G472" s="150"/>
      <c r="H472" s="150"/>
      <c r="I472" s="58" t="s">
        <v>784</v>
      </c>
      <c r="J472" s="58" t="s">
        <v>70</v>
      </c>
      <c r="K472" s="58" t="s">
        <v>785</v>
      </c>
      <c r="L472" s="151" t="s">
        <v>24</v>
      </c>
      <c r="M472" s="151" t="s">
        <v>36</v>
      </c>
      <c r="N472" s="161">
        <v>90.5</v>
      </c>
      <c r="O472" s="161">
        <v>90.5</v>
      </c>
      <c r="P472" s="161">
        <v>0</v>
      </c>
      <c r="Q472" s="161">
        <v>0</v>
      </c>
      <c r="R472" s="161">
        <v>0</v>
      </c>
    </row>
    <row r="473" spans="1:18" s="166" customFormat="1" ht="71.25" customHeight="1">
      <c r="A473" s="201" t="s">
        <v>1000</v>
      </c>
      <c r="B473" s="151" t="s">
        <v>564</v>
      </c>
      <c r="C473" s="149"/>
      <c r="D473" s="149"/>
      <c r="E473" s="149"/>
      <c r="F473" s="150"/>
      <c r="G473" s="150"/>
      <c r="H473" s="150"/>
      <c r="I473" s="58" t="s">
        <v>991</v>
      </c>
      <c r="J473" s="58" t="s">
        <v>70</v>
      </c>
      <c r="K473" s="58" t="s">
        <v>992</v>
      </c>
      <c r="L473" s="151"/>
      <c r="M473" s="151"/>
      <c r="N473" s="161">
        <v>50</v>
      </c>
      <c r="O473" s="161">
        <v>50</v>
      </c>
      <c r="P473" s="161">
        <v>0</v>
      </c>
      <c r="Q473" s="161">
        <v>0</v>
      </c>
      <c r="R473" s="161">
        <v>0</v>
      </c>
    </row>
    <row r="474" spans="1:18" s="166" customFormat="1" ht="61.5" customHeight="1">
      <c r="A474" s="201" t="s">
        <v>1201</v>
      </c>
      <c r="B474" s="151" t="s">
        <v>499</v>
      </c>
      <c r="C474" s="149"/>
      <c r="D474" s="149"/>
      <c r="E474" s="149"/>
      <c r="F474" s="150"/>
      <c r="G474" s="150"/>
      <c r="H474" s="150"/>
      <c r="I474" s="58" t="s">
        <v>1345</v>
      </c>
      <c r="J474" s="58" t="s">
        <v>70</v>
      </c>
      <c r="K474" s="58" t="s">
        <v>1215</v>
      </c>
      <c r="L474" s="151" t="s">
        <v>24</v>
      </c>
      <c r="M474" s="151" t="s">
        <v>36</v>
      </c>
      <c r="N474" s="161">
        <v>0</v>
      </c>
      <c r="O474" s="161">
        <v>0</v>
      </c>
      <c r="P474" s="161">
        <v>63</v>
      </c>
      <c r="Q474" s="161">
        <v>0</v>
      </c>
      <c r="R474" s="161">
        <v>0</v>
      </c>
    </row>
    <row r="475" spans="1:18" s="166" customFormat="1" ht="72">
      <c r="A475" s="201" t="s">
        <v>1292</v>
      </c>
      <c r="B475" s="151" t="s">
        <v>511</v>
      </c>
      <c r="C475" s="149"/>
      <c r="D475" s="149"/>
      <c r="E475" s="149"/>
      <c r="F475" s="150"/>
      <c r="G475" s="150"/>
      <c r="H475" s="150"/>
      <c r="I475" s="58" t="s">
        <v>1320</v>
      </c>
      <c r="J475" s="58" t="s">
        <v>70</v>
      </c>
      <c r="K475" s="58" t="s">
        <v>1321</v>
      </c>
      <c r="L475" s="151" t="s">
        <v>24</v>
      </c>
      <c r="M475" s="151" t="s">
        <v>36</v>
      </c>
      <c r="N475" s="161">
        <v>0</v>
      </c>
      <c r="O475" s="161">
        <v>0</v>
      </c>
      <c r="P475" s="161">
        <v>78</v>
      </c>
      <c r="Q475" s="161">
        <v>0</v>
      </c>
      <c r="R475" s="161">
        <v>0</v>
      </c>
    </row>
    <row r="476" spans="1:18" s="166" customFormat="1" ht="61.5" customHeight="1">
      <c r="A476" s="201" t="s">
        <v>1293</v>
      </c>
      <c r="B476" s="151" t="s">
        <v>497</v>
      </c>
      <c r="C476" s="149"/>
      <c r="D476" s="149"/>
      <c r="E476" s="149"/>
      <c r="F476" s="150"/>
      <c r="G476" s="150"/>
      <c r="H476" s="150"/>
      <c r="I476" s="24" t="s">
        <v>1267</v>
      </c>
      <c r="J476" s="58" t="s">
        <v>70</v>
      </c>
      <c r="K476" s="58" t="s">
        <v>1313</v>
      </c>
      <c r="L476" s="151" t="s">
        <v>24</v>
      </c>
      <c r="M476" s="151" t="s">
        <v>36</v>
      </c>
      <c r="N476" s="161">
        <v>0</v>
      </c>
      <c r="O476" s="161">
        <v>0</v>
      </c>
      <c r="P476" s="161">
        <v>150</v>
      </c>
      <c r="Q476" s="161">
        <v>0</v>
      </c>
      <c r="R476" s="161">
        <v>0</v>
      </c>
    </row>
    <row r="477" spans="1:18" s="167" customFormat="1" ht="119.25" customHeight="1" hidden="1">
      <c r="A477" s="142" t="s">
        <v>883</v>
      </c>
      <c r="B477" s="106" t="s">
        <v>884</v>
      </c>
      <c r="C477" s="142" t="s">
        <v>31</v>
      </c>
      <c r="D477" s="142" t="s">
        <v>31</v>
      </c>
      <c r="E477" s="142" t="s">
        <v>31</v>
      </c>
      <c r="F477" s="142" t="s">
        <v>31</v>
      </c>
      <c r="G477" s="142" t="s">
        <v>31</v>
      </c>
      <c r="H477" s="142" t="s">
        <v>31</v>
      </c>
      <c r="I477" s="65" t="s">
        <v>567</v>
      </c>
      <c r="J477" s="78" t="s">
        <v>70</v>
      </c>
      <c r="K477" s="65" t="s">
        <v>516</v>
      </c>
      <c r="L477" s="106" t="s">
        <v>35</v>
      </c>
      <c r="M477" s="191" t="s">
        <v>35</v>
      </c>
      <c r="N477" s="143"/>
      <c r="O477" s="143"/>
      <c r="P477" s="143"/>
      <c r="Q477" s="143"/>
      <c r="R477" s="241"/>
    </row>
    <row r="478" spans="1:18" s="167" customFormat="1" ht="59.25" customHeight="1">
      <c r="A478" s="66" t="s">
        <v>885</v>
      </c>
      <c r="B478" s="67">
        <v>2326</v>
      </c>
      <c r="C478" s="66" t="s">
        <v>31</v>
      </c>
      <c r="D478" s="66" t="s">
        <v>31</v>
      </c>
      <c r="E478" s="66" t="s">
        <v>31</v>
      </c>
      <c r="F478" s="66" t="s">
        <v>31</v>
      </c>
      <c r="G478" s="66" t="s">
        <v>31</v>
      </c>
      <c r="H478" s="66" t="s">
        <v>31</v>
      </c>
      <c r="I478" s="66" t="s">
        <v>31</v>
      </c>
      <c r="J478" s="66" t="s">
        <v>31</v>
      </c>
      <c r="K478" s="66" t="s">
        <v>31</v>
      </c>
      <c r="L478" s="67"/>
      <c r="M478" s="67"/>
      <c r="N478" s="68">
        <f>SUM(N480:N498)</f>
        <v>13438.895999999999</v>
      </c>
      <c r="O478" s="68">
        <f>SUM(O480:O498)</f>
        <v>12934.279999999999</v>
      </c>
      <c r="P478" s="68">
        <f>SUM(P480:P498)</f>
        <v>24570.338</v>
      </c>
      <c r="Q478" s="68">
        <f>SUM(Q480:Q498)</f>
        <v>0</v>
      </c>
      <c r="R478" s="68">
        <f>SUM(R480:R498)</f>
        <v>0</v>
      </c>
    </row>
    <row r="479" spans="1:18" s="167" customFormat="1" ht="14.25" customHeight="1">
      <c r="A479" s="81" t="s">
        <v>886</v>
      </c>
      <c r="B479" s="97"/>
      <c r="C479" s="154"/>
      <c r="D479" s="154"/>
      <c r="E479" s="154"/>
      <c r="F479" s="154"/>
      <c r="G479" s="154"/>
      <c r="H479" s="154"/>
      <c r="I479" s="154"/>
      <c r="J479" s="154"/>
      <c r="K479" s="154"/>
      <c r="L479" s="97"/>
      <c r="M479" s="97"/>
      <c r="N479" s="92"/>
      <c r="O479" s="92"/>
      <c r="P479" s="92"/>
      <c r="Q479" s="92"/>
      <c r="R479" s="238"/>
    </row>
    <row r="480" spans="1:18" s="166" customFormat="1" ht="72">
      <c r="A480" s="152" t="s">
        <v>1002</v>
      </c>
      <c r="B480" s="113" t="s">
        <v>498</v>
      </c>
      <c r="C480" s="152"/>
      <c r="D480" s="152"/>
      <c r="E480" s="152"/>
      <c r="F480" s="152"/>
      <c r="G480" s="152"/>
      <c r="H480" s="152"/>
      <c r="I480" s="22" t="s">
        <v>734</v>
      </c>
      <c r="J480" s="22" t="s">
        <v>70</v>
      </c>
      <c r="K480" s="446" t="s">
        <v>616</v>
      </c>
      <c r="L480" s="113" t="s">
        <v>35</v>
      </c>
      <c r="M480" s="113" t="s">
        <v>41</v>
      </c>
      <c r="N480" s="135">
        <v>4219.34</v>
      </c>
      <c r="O480" s="363">
        <v>3714.724</v>
      </c>
      <c r="P480" s="135">
        <v>0</v>
      </c>
      <c r="Q480" s="363">
        <v>0</v>
      </c>
      <c r="R480" s="363">
        <v>0</v>
      </c>
    </row>
    <row r="481" spans="1:18" s="166" customFormat="1" ht="60">
      <c r="A481" s="87"/>
      <c r="B481" s="88"/>
      <c r="C481" s="87"/>
      <c r="D481" s="87"/>
      <c r="E481" s="87"/>
      <c r="F481" s="87"/>
      <c r="G481" s="87"/>
      <c r="H481" s="87"/>
      <c r="I481" s="452" t="s">
        <v>695</v>
      </c>
      <c r="J481" s="23" t="s">
        <v>70</v>
      </c>
      <c r="K481" s="26" t="s">
        <v>696</v>
      </c>
      <c r="L481" s="88"/>
      <c r="M481" s="88"/>
      <c r="N481" s="137"/>
      <c r="O481" s="77"/>
      <c r="P481" s="137"/>
      <c r="Q481" s="77"/>
      <c r="R481" s="77"/>
    </row>
    <row r="482" spans="1:18" s="166" customFormat="1" ht="60">
      <c r="A482" s="87"/>
      <c r="B482" s="88"/>
      <c r="C482" s="87"/>
      <c r="D482" s="87"/>
      <c r="E482" s="87"/>
      <c r="F482" s="87"/>
      <c r="G482" s="87"/>
      <c r="H482" s="87"/>
      <c r="I482" s="452" t="s">
        <v>768</v>
      </c>
      <c r="J482" s="23" t="s">
        <v>70</v>
      </c>
      <c r="K482" s="26" t="s">
        <v>769</v>
      </c>
      <c r="L482" s="88"/>
      <c r="M482" s="88"/>
      <c r="N482" s="137"/>
      <c r="O482" s="77"/>
      <c r="P482" s="137"/>
      <c r="Q482" s="77"/>
      <c r="R482" s="77"/>
    </row>
    <row r="483" spans="1:18" s="166" customFormat="1" ht="60">
      <c r="A483" s="157"/>
      <c r="B483" s="119"/>
      <c r="C483" s="157"/>
      <c r="D483" s="157"/>
      <c r="E483" s="157"/>
      <c r="F483" s="157"/>
      <c r="G483" s="157"/>
      <c r="H483" s="157"/>
      <c r="I483" s="277" t="s">
        <v>732</v>
      </c>
      <c r="J483" s="25" t="s">
        <v>70</v>
      </c>
      <c r="K483" s="257" t="s">
        <v>733</v>
      </c>
      <c r="L483" s="119"/>
      <c r="M483" s="119"/>
      <c r="N483" s="158"/>
      <c r="O483" s="114"/>
      <c r="P483" s="158"/>
      <c r="Q483" s="114"/>
      <c r="R483" s="114"/>
    </row>
    <row r="484" spans="1:18" s="166" customFormat="1" ht="48">
      <c r="A484" s="149" t="s">
        <v>1003</v>
      </c>
      <c r="B484" s="151" t="s">
        <v>520</v>
      </c>
      <c r="C484" s="149"/>
      <c r="D484" s="149"/>
      <c r="E484" s="149"/>
      <c r="F484" s="149"/>
      <c r="G484" s="149"/>
      <c r="H484" s="149"/>
      <c r="I484" s="253" t="s">
        <v>688</v>
      </c>
      <c r="J484" s="253" t="s">
        <v>70</v>
      </c>
      <c r="K484" s="254" t="s">
        <v>687</v>
      </c>
      <c r="L484" s="151" t="s">
        <v>35</v>
      </c>
      <c r="M484" s="151" t="s">
        <v>41</v>
      </c>
      <c r="N484" s="161">
        <v>203.36</v>
      </c>
      <c r="O484" s="156">
        <v>203.36</v>
      </c>
      <c r="P484" s="161">
        <v>0</v>
      </c>
      <c r="Q484" s="156">
        <v>0</v>
      </c>
      <c r="R484" s="156">
        <v>0</v>
      </c>
    </row>
    <row r="485" spans="1:18" s="166" customFormat="1" ht="72">
      <c r="A485" s="149" t="s">
        <v>1004</v>
      </c>
      <c r="B485" s="151" t="s">
        <v>689</v>
      </c>
      <c r="C485" s="149"/>
      <c r="D485" s="149"/>
      <c r="E485" s="149"/>
      <c r="F485" s="149"/>
      <c r="G485" s="149"/>
      <c r="H485" s="149"/>
      <c r="I485" s="253" t="s">
        <v>764</v>
      </c>
      <c r="J485" s="253" t="s">
        <v>70</v>
      </c>
      <c r="K485" s="254" t="s">
        <v>765</v>
      </c>
      <c r="L485" s="151" t="s">
        <v>35</v>
      </c>
      <c r="M485" s="151" t="s">
        <v>41</v>
      </c>
      <c r="N485" s="161">
        <v>759.172</v>
      </c>
      <c r="O485" s="156">
        <v>759.172</v>
      </c>
      <c r="P485" s="161">
        <v>0</v>
      </c>
      <c r="Q485" s="156">
        <v>0</v>
      </c>
      <c r="R485" s="156">
        <v>0</v>
      </c>
    </row>
    <row r="486" spans="1:18" s="166" customFormat="1" ht="71.25" customHeight="1">
      <c r="A486" s="149" t="s">
        <v>1005</v>
      </c>
      <c r="B486" s="151" t="s">
        <v>541</v>
      </c>
      <c r="C486" s="149"/>
      <c r="D486" s="149"/>
      <c r="E486" s="149"/>
      <c r="F486" s="149"/>
      <c r="G486" s="149"/>
      <c r="H486" s="149"/>
      <c r="I486" s="253" t="s">
        <v>712</v>
      </c>
      <c r="J486" s="253" t="s">
        <v>70</v>
      </c>
      <c r="K486" s="254" t="s">
        <v>713</v>
      </c>
      <c r="L486" s="151" t="s">
        <v>35</v>
      </c>
      <c r="M486" s="151" t="s">
        <v>41</v>
      </c>
      <c r="N486" s="161">
        <v>32.125</v>
      </c>
      <c r="O486" s="156">
        <v>32.125</v>
      </c>
      <c r="P486" s="161">
        <v>0</v>
      </c>
      <c r="Q486" s="156">
        <v>0</v>
      </c>
      <c r="R486" s="156">
        <v>0</v>
      </c>
    </row>
    <row r="487" spans="1:18" s="166" customFormat="1" ht="85.5" customHeight="1">
      <c r="A487" s="149" t="s">
        <v>1006</v>
      </c>
      <c r="B487" s="151" t="s">
        <v>714</v>
      </c>
      <c r="C487" s="149"/>
      <c r="D487" s="149"/>
      <c r="E487" s="149"/>
      <c r="F487" s="149"/>
      <c r="G487" s="149"/>
      <c r="H487" s="149"/>
      <c r="I487" s="253" t="s">
        <v>715</v>
      </c>
      <c r="J487" s="253" t="s">
        <v>70</v>
      </c>
      <c r="K487" s="254" t="s">
        <v>713</v>
      </c>
      <c r="L487" s="151" t="s">
        <v>35</v>
      </c>
      <c r="M487" s="151" t="s">
        <v>41</v>
      </c>
      <c r="N487" s="161">
        <v>7.538</v>
      </c>
      <c r="O487" s="156">
        <v>7.538</v>
      </c>
      <c r="P487" s="161">
        <v>0</v>
      </c>
      <c r="Q487" s="156">
        <v>0</v>
      </c>
      <c r="R487" s="156">
        <v>0</v>
      </c>
    </row>
    <row r="488" spans="1:18" s="166" customFormat="1" ht="60">
      <c r="A488" s="559" t="s">
        <v>1200</v>
      </c>
      <c r="B488" s="621" t="s">
        <v>498</v>
      </c>
      <c r="C488" s="584"/>
      <c r="D488" s="584"/>
      <c r="E488" s="584"/>
      <c r="F488" s="584"/>
      <c r="G488" s="584"/>
      <c r="H488" s="584"/>
      <c r="I488" s="253" t="s">
        <v>1217</v>
      </c>
      <c r="J488" s="253" t="s">
        <v>70</v>
      </c>
      <c r="K488" s="254" t="s">
        <v>1216</v>
      </c>
      <c r="L488" s="151" t="s">
        <v>35</v>
      </c>
      <c r="M488" s="151" t="s">
        <v>41</v>
      </c>
      <c r="N488" s="161">
        <v>0</v>
      </c>
      <c r="O488" s="156">
        <v>0</v>
      </c>
      <c r="P488" s="161">
        <v>600.416</v>
      </c>
      <c r="Q488" s="156">
        <v>0</v>
      </c>
      <c r="R488" s="156">
        <v>0</v>
      </c>
    </row>
    <row r="489" spans="1:18" s="166" customFormat="1" ht="60">
      <c r="A489" s="620"/>
      <c r="B489" s="622"/>
      <c r="C489" s="601"/>
      <c r="D489" s="601"/>
      <c r="E489" s="601"/>
      <c r="F489" s="601"/>
      <c r="G489" s="601"/>
      <c r="H489" s="601"/>
      <c r="I489" s="253" t="s">
        <v>1332</v>
      </c>
      <c r="J489" s="253" t="s">
        <v>70</v>
      </c>
      <c r="K489" s="254" t="s">
        <v>1333</v>
      </c>
      <c r="L489" s="151" t="s">
        <v>35</v>
      </c>
      <c r="M489" s="151" t="s">
        <v>41</v>
      </c>
      <c r="N489" s="161"/>
      <c r="O489" s="156"/>
      <c r="P489" s="161"/>
      <c r="Q489" s="156"/>
      <c r="R489" s="156"/>
    </row>
    <row r="490" spans="1:18" s="166" customFormat="1" ht="36.75" customHeight="1">
      <c r="A490" s="149" t="s">
        <v>1242</v>
      </c>
      <c r="B490" s="151" t="s">
        <v>513</v>
      </c>
      <c r="C490" s="149"/>
      <c r="D490" s="149"/>
      <c r="E490" s="149"/>
      <c r="F490" s="149"/>
      <c r="G490" s="149"/>
      <c r="H490" s="149"/>
      <c r="I490" s="253" t="s">
        <v>1259</v>
      </c>
      <c r="J490" s="253" t="s">
        <v>70</v>
      </c>
      <c r="K490" s="254" t="s">
        <v>1256</v>
      </c>
      <c r="L490" s="151" t="s">
        <v>35</v>
      </c>
      <c r="M490" s="151" t="s">
        <v>41</v>
      </c>
      <c r="N490" s="161">
        <v>0</v>
      </c>
      <c r="O490" s="156">
        <v>0</v>
      </c>
      <c r="P490" s="161">
        <v>155</v>
      </c>
      <c r="Q490" s="156">
        <v>0</v>
      </c>
      <c r="R490" s="156">
        <v>0</v>
      </c>
    </row>
    <row r="491" spans="1:18" s="166" customFormat="1" ht="60">
      <c r="A491" s="149" t="s">
        <v>1243</v>
      </c>
      <c r="B491" s="151" t="s">
        <v>512</v>
      </c>
      <c r="C491" s="149"/>
      <c r="D491" s="149"/>
      <c r="E491" s="149"/>
      <c r="F491" s="149"/>
      <c r="G491" s="149"/>
      <c r="H491" s="149"/>
      <c r="I491" s="253" t="s">
        <v>1336</v>
      </c>
      <c r="J491" s="253" t="s">
        <v>70</v>
      </c>
      <c r="K491" s="254" t="s">
        <v>1256</v>
      </c>
      <c r="L491" s="151" t="s">
        <v>35</v>
      </c>
      <c r="M491" s="151" t="s">
        <v>41</v>
      </c>
      <c r="N491" s="161">
        <v>0</v>
      </c>
      <c r="O491" s="156">
        <v>0</v>
      </c>
      <c r="P491" s="161">
        <v>112.712</v>
      </c>
      <c r="Q491" s="156">
        <v>0</v>
      </c>
      <c r="R491" s="156">
        <v>0</v>
      </c>
    </row>
    <row r="492" spans="1:18" s="166" customFormat="1" ht="48">
      <c r="A492" s="149" t="s">
        <v>1294</v>
      </c>
      <c r="B492" s="151" t="s">
        <v>527</v>
      </c>
      <c r="C492" s="149"/>
      <c r="D492" s="149"/>
      <c r="E492" s="149"/>
      <c r="F492" s="149"/>
      <c r="G492" s="149"/>
      <c r="H492" s="149"/>
      <c r="I492" s="253" t="s">
        <v>1334</v>
      </c>
      <c r="J492" s="253" t="s">
        <v>70</v>
      </c>
      <c r="K492" s="254" t="s">
        <v>1335</v>
      </c>
      <c r="L492" s="151" t="s">
        <v>35</v>
      </c>
      <c r="M492" s="151" t="s">
        <v>41</v>
      </c>
      <c r="N492" s="161">
        <v>0</v>
      </c>
      <c r="O492" s="156">
        <v>0</v>
      </c>
      <c r="P492" s="161">
        <v>907.5</v>
      </c>
      <c r="Q492" s="156">
        <v>0</v>
      </c>
      <c r="R492" s="156">
        <v>0</v>
      </c>
    </row>
    <row r="493" spans="1:18" s="166" customFormat="1" ht="24">
      <c r="A493" s="110" t="s">
        <v>887</v>
      </c>
      <c r="B493" s="151"/>
      <c r="C493" s="149"/>
      <c r="D493" s="149"/>
      <c r="E493" s="149"/>
      <c r="F493" s="149"/>
      <c r="G493" s="149"/>
      <c r="H493" s="149"/>
      <c r="I493" s="253"/>
      <c r="J493" s="253"/>
      <c r="K493" s="254"/>
      <c r="L493" s="150"/>
      <c r="M493" s="150"/>
      <c r="N493" s="149"/>
      <c r="O493" s="161"/>
      <c r="P493" s="149"/>
      <c r="Q493" s="149"/>
      <c r="R493" s="149"/>
    </row>
    <row r="494" spans="1:18" s="166" customFormat="1" ht="60.75" customHeight="1">
      <c r="A494" s="149" t="s">
        <v>888</v>
      </c>
      <c r="B494" s="222" t="s">
        <v>644</v>
      </c>
      <c r="C494" s="538"/>
      <c r="D494" s="538"/>
      <c r="E494" s="538"/>
      <c r="F494" s="538"/>
      <c r="G494" s="538"/>
      <c r="H494" s="538"/>
      <c r="I494" s="594" t="s">
        <v>1324</v>
      </c>
      <c r="J494" s="515" t="s">
        <v>70</v>
      </c>
      <c r="K494" s="522" t="s">
        <v>1325</v>
      </c>
      <c r="L494" s="200" t="s">
        <v>35</v>
      </c>
      <c r="M494" s="151" t="s">
        <v>41</v>
      </c>
      <c r="N494" s="161">
        <v>1341.786</v>
      </c>
      <c r="O494" s="161">
        <v>1341.786</v>
      </c>
      <c r="P494" s="161">
        <v>672.889</v>
      </c>
      <c r="Q494" s="149">
        <v>0</v>
      </c>
      <c r="R494" s="149">
        <v>0</v>
      </c>
    </row>
    <row r="495" spans="1:18" s="166" customFormat="1" ht="60" customHeight="1">
      <c r="A495" s="75" t="s">
        <v>889</v>
      </c>
      <c r="B495" s="212" t="s">
        <v>645</v>
      </c>
      <c r="C495" s="584"/>
      <c r="D495" s="584"/>
      <c r="E495" s="584"/>
      <c r="F495" s="584"/>
      <c r="G495" s="584"/>
      <c r="H495" s="584"/>
      <c r="I495" s="595"/>
      <c r="J495" s="603"/>
      <c r="K495" s="604"/>
      <c r="L495" s="120" t="s">
        <v>35</v>
      </c>
      <c r="M495" s="95" t="s">
        <v>41</v>
      </c>
      <c r="N495" s="171">
        <v>6551.075</v>
      </c>
      <c r="O495" s="171">
        <v>6551.075</v>
      </c>
      <c r="P495" s="171">
        <v>21756.821</v>
      </c>
      <c r="Q495" s="171">
        <v>0</v>
      </c>
      <c r="R495" s="198">
        <v>0</v>
      </c>
    </row>
    <row r="496" spans="1:18" s="166" customFormat="1" ht="84.75" customHeight="1">
      <c r="A496" s="149" t="s">
        <v>1295</v>
      </c>
      <c r="B496" s="151" t="s">
        <v>517</v>
      </c>
      <c r="C496" s="150"/>
      <c r="D496" s="150"/>
      <c r="E496" s="150"/>
      <c r="F496" s="150"/>
      <c r="G496" s="150"/>
      <c r="H496" s="150"/>
      <c r="I496" s="253" t="s">
        <v>1317</v>
      </c>
      <c r="J496" s="253" t="s">
        <v>70</v>
      </c>
      <c r="K496" s="254" t="s">
        <v>1318</v>
      </c>
      <c r="L496" s="151" t="s">
        <v>35</v>
      </c>
      <c r="M496" s="151" t="s">
        <v>41</v>
      </c>
      <c r="N496" s="161">
        <v>0</v>
      </c>
      <c r="O496" s="161">
        <v>0</v>
      </c>
      <c r="P496" s="161">
        <v>365</v>
      </c>
      <c r="Q496" s="161">
        <v>0</v>
      </c>
      <c r="R496" s="161">
        <v>0</v>
      </c>
    </row>
    <row r="497" spans="1:18" s="166" customFormat="1" ht="73.5" customHeight="1">
      <c r="A497" s="152" t="s">
        <v>1296</v>
      </c>
      <c r="B497" s="113" t="s">
        <v>535</v>
      </c>
      <c r="C497" s="152"/>
      <c r="D497" s="152"/>
      <c r="E497" s="152"/>
      <c r="F497" s="152"/>
      <c r="G497" s="152"/>
      <c r="H497" s="152"/>
      <c r="I497" s="58" t="s">
        <v>716</v>
      </c>
      <c r="J497" s="58" t="s">
        <v>70</v>
      </c>
      <c r="K497" s="58" t="s">
        <v>718</v>
      </c>
      <c r="L497" s="151" t="s">
        <v>35</v>
      </c>
      <c r="M497" s="151" t="s">
        <v>41</v>
      </c>
      <c r="N497" s="161">
        <v>174.5</v>
      </c>
      <c r="O497" s="161">
        <v>174.5</v>
      </c>
      <c r="P497" s="161">
        <v>0</v>
      </c>
      <c r="Q497" s="161">
        <v>0</v>
      </c>
      <c r="R497" s="161">
        <v>0</v>
      </c>
    </row>
    <row r="498" spans="1:18" s="166" customFormat="1" ht="60.75" customHeight="1">
      <c r="A498" s="152" t="s">
        <v>1297</v>
      </c>
      <c r="B498" s="151" t="s">
        <v>536</v>
      </c>
      <c r="C498" s="149"/>
      <c r="D498" s="149"/>
      <c r="E498" s="149"/>
      <c r="F498" s="149"/>
      <c r="G498" s="149"/>
      <c r="H498" s="149"/>
      <c r="I498" s="58" t="s">
        <v>720</v>
      </c>
      <c r="J498" s="58" t="s">
        <v>70</v>
      </c>
      <c r="K498" s="58" t="s">
        <v>721</v>
      </c>
      <c r="L498" s="151" t="s">
        <v>35</v>
      </c>
      <c r="M498" s="151" t="s">
        <v>41</v>
      </c>
      <c r="N498" s="161">
        <v>150</v>
      </c>
      <c r="O498" s="161">
        <v>150</v>
      </c>
      <c r="P498" s="161">
        <v>0</v>
      </c>
      <c r="Q498" s="161">
        <v>0</v>
      </c>
      <c r="R498" s="161">
        <v>0</v>
      </c>
    </row>
    <row r="499" spans="1:18" s="166" customFormat="1" ht="87" customHeight="1" hidden="1">
      <c r="A499" s="152" t="s">
        <v>890</v>
      </c>
      <c r="B499" s="151" t="s">
        <v>724</v>
      </c>
      <c r="C499" s="149"/>
      <c r="D499" s="149"/>
      <c r="E499" s="149"/>
      <c r="F499" s="149"/>
      <c r="G499" s="149"/>
      <c r="H499" s="149"/>
      <c r="I499" s="58" t="s">
        <v>570</v>
      </c>
      <c r="J499" s="58"/>
      <c r="K499" s="58"/>
      <c r="L499" s="151" t="s">
        <v>35</v>
      </c>
      <c r="M499" s="151" t="s">
        <v>41</v>
      </c>
      <c r="N499" s="161"/>
      <c r="O499" s="161"/>
      <c r="P499" s="161">
        <v>0</v>
      </c>
      <c r="Q499" s="161"/>
      <c r="R499" s="161"/>
    </row>
    <row r="500" spans="1:18" s="167" customFormat="1" ht="132.75" customHeight="1">
      <c r="A500" s="491" t="s">
        <v>891</v>
      </c>
      <c r="B500" s="153" t="s">
        <v>1197</v>
      </c>
      <c r="C500" s="145"/>
      <c r="D500" s="145"/>
      <c r="E500" s="145"/>
      <c r="F500" s="145"/>
      <c r="G500" s="145"/>
      <c r="H500" s="145"/>
      <c r="I500" s="453" t="s">
        <v>1229</v>
      </c>
      <c r="J500" s="22" t="s">
        <v>70</v>
      </c>
      <c r="K500" s="446" t="s">
        <v>1227</v>
      </c>
      <c r="L500" s="153" t="s">
        <v>37</v>
      </c>
      <c r="M500" s="153" t="s">
        <v>25</v>
      </c>
      <c r="N500" s="469">
        <v>0</v>
      </c>
      <c r="O500" s="469">
        <v>0</v>
      </c>
      <c r="P500" s="469">
        <v>1800</v>
      </c>
      <c r="Q500" s="469">
        <v>0</v>
      </c>
      <c r="R500" s="469">
        <v>0</v>
      </c>
    </row>
    <row r="501" spans="1:18" s="167" customFormat="1" ht="135" customHeight="1">
      <c r="A501" s="492"/>
      <c r="B501" s="470"/>
      <c r="C501" s="154"/>
      <c r="D501" s="154"/>
      <c r="E501" s="154"/>
      <c r="F501" s="154"/>
      <c r="G501" s="154"/>
      <c r="H501" s="154"/>
      <c r="I501" s="454" t="s">
        <v>1231</v>
      </c>
      <c r="J501" s="25" t="s">
        <v>70</v>
      </c>
      <c r="K501" s="257" t="s">
        <v>1227</v>
      </c>
      <c r="L501" s="470"/>
      <c r="M501" s="470"/>
      <c r="N501" s="471"/>
      <c r="O501" s="471"/>
      <c r="P501" s="471"/>
      <c r="Q501" s="471"/>
      <c r="R501" s="471"/>
    </row>
    <row r="502" spans="1:18" s="167" customFormat="1" ht="84">
      <c r="A502" s="145" t="s">
        <v>892</v>
      </c>
      <c r="B502" s="146" t="s">
        <v>1007</v>
      </c>
      <c r="C502" s="145"/>
      <c r="D502" s="145"/>
      <c r="E502" s="145"/>
      <c r="F502" s="145"/>
      <c r="G502" s="145"/>
      <c r="H502" s="145"/>
      <c r="I502" s="453" t="s">
        <v>439</v>
      </c>
      <c r="J502" s="22" t="s">
        <v>70</v>
      </c>
      <c r="K502" s="446" t="s">
        <v>123</v>
      </c>
      <c r="L502" s="153" t="s">
        <v>37</v>
      </c>
      <c r="M502" s="153" t="s">
        <v>35</v>
      </c>
      <c r="N502" s="145">
        <v>40</v>
      </c>
      <c r="O502" s="145">
        <v>40</v>
      </c>
      <c r="P502" s="145">
        <v>0</v>
      </c>
      <c r="Q502" s="145">
        <v>0</v>
      </c>
      <c r="R502" s="145">
        <v>0</v>
      </c>
    </row>
    <row r="503" spans="1:18" s="167" customFormat="1" ht="72">
      <c r="A503" s="124"/>
      <c r="B503" s="139"/>
      <c r="C503" s="124"/>
      <c r="D503" s="124"/>
      <c r="E503" s="124"/>
      <c r="F503" s="124"/>
      <c r="G503" s="124"/>
      <c r="H503" s="124"/>
      <c r="I503" s="2" t="s">
        <v>1098</v>
      </c>
      <c r="J503" s="23" t="s">
        <v>70</v>
      </c>
      <c r="K503" s="26" t="s">
        <v>1099</v>
      </c>
      <c r="L503" s="97"/>
      <c r="M503" s="97"/>
      <c r="N503" s="154"/>
      <c r="O503" s="154"/>
      <c r="P503" s="154"/>
      <c r="Q503" s="154"/>
      <c r="R503" s="154"/>
    </row>
    <row r="504" spans="1:18" s="167" customFormat="1" ht="48" hidden="1">
      <c r="A504" s="154"/>
      <c r="B504" s="97" t="s">
        <v>1235</v>
      </c>
      <c r="C504" s="154"/>
      <c r="D504" s="154"/>
      <c r="E504" s="154"/>
      <c r="F504" s="154"/>
      <c r="G504" s="154"/>
      <c r="H504" s="154"/>
      <c r="I504" s="454" t="s">
        <v>705</v>
      </c>
      <c r="J504" s="25"/>
      <c r="K504" s="257"/>
      <c r="L504" s="470" t="s">
        <v>37</v>
      </c>
      <c r="M504" s="470" t="s">
        <v>35</v>
      </c>
      <c r="N504" s="154"/>
      <c r="O504" s="154"/>
      <c r="P504" s="471">
        <v>0</v>
      </c>
      <c r="Q504" s="154"/>
      <c r="R504" s="154"/>
    </row>
    <row r="505" spans="1:18" s="167" customFormat="1" ht="60">
      <c r="A505" s="110" t="s">
        <v>893</v>
      </c>
      <c r="B505" s="83">
        <v>2339</v>
      </c>
      <c r="C505" s="110"/>
      <c r="D505" s="110"/>
      <c r="E505" s="110"/>
      <c r="F505" s="110"/>
      <c r="G505" s="110"/>
      <c r="H505" s="110"/>
      <c r="I505" s="253" t="s">
        <v>556</v>
      </c>
      <c r="J505" s="253" t="s">
        <v>70</v>
      </c>
      <c r="K505" s="254" t="s">
        <v>557</v>
      </c>
      <c r="L505" s="155" t="s">
        <v>43</v>
      </c>
      <c r="M505" s="155" t="s">
        <v>43</v>
      </c>
      <c r="N505" s="110">
        <v>0</v>
      </c>
      <c r="O505" s="110">
        <v>0</v>
      </c>
      <c r="P505" s="110">
        <v>0</v>
      </c>
      <c r="Q505" s="110">
        <v>0</v>
      </c>
      <c r="R505" s="110">
        <v>0</v>
      </c>
    </row>
    <row r="506" spans="1:18" s="166" customFormat="1" ht="83.25" customHeight="1">
      <c r="A506" s="90" t="s">
        <v>894</v>
      </c>
      <c r="B506" s="91" t="s">
        <v>895</v>
      </c>
      <c r="C506" s="75"/>
      <c r="D506" s="75"/>
      <c r="E506" s="75"/>
      <c r="F506" s="75"/>
      <c r="G506" s="75"/>
      <c r="H506" s="75"/>
      <c r="I506" s="85" t="s">
        <v>550</v>
      </c>
      <c r="J506" s="127" t="s">
        <v>70</v>
      </c>
      <c r="K506" s="127" t="s">
        <v>551</v>
      </c>
      <c r="L506" s="162" t="s">
        <v>32</v>
      </c>
      <c r="M506" s="162" t="s">
        <v>43</v>
      </c>
      <c r="N506" s="92">
        <v>0</v>
      </c>
      <c r="O506" s="92">
        <v>0</v>
      </c>
      <c r="P506" s="92">
        <v>0</v>
      </c>
      <c r="Q506" s="92">
        <v>0</v>
      </c>
      <c r="R506" s="238">
        <v>0</v>
      </c>
    </row>
    <row r="507" spans="1:18" s="166" customFormat="1" ht="76.5" customHeight="1">
      <c r="A507" s="110" t="s">
        <v>896</v>
      </c>
      <c r="B507" s="155" t="s">
        <v>912</v>
      </c>
      <c r="C507" s="150" t="s">
        <v>600</v>
      </c>
      <c r="D507" s="150" t="s">
        <v>602</v>
      </c>
      <c r="E507" s="150" t="s">
        <v>58</v>
      </c>
      <c r="F507" s="150"/>
      <c r="G507" s="150"/>
      <c r="H507" s="150"/>
      <c r="I507" s="244" t="s">
        <v>569</v>
      </c>
      <c r="J507" s="245" t="s">
        <v>70</v>
      </c>
      <c r="K507" s="245" t="s">
        <v>566</v>
      </c>
      <c r="L507" s="155" t="s">
        <v>37</v>
      </c>
      <c r="M507" s="155" t="s">
        <v>25</v>
      </c>
      <c r="N507" s="148">
        <v>0</v>
      </c>
      <c r="O507" s="148">
        <v>0</v>
      </c>
      <c r="P507" s="148">
        <v>0</v>
      </c>
      <c r="Q507" s="148">
        <v>0</v>
      </c>
      <c r="R507" s="148">
        <v>0</v>
      </c>
    </row>
    <row r="508" spans="1:18" s="166" customFormat="1" ht="72">
      <c r="A508" s="104" t="s">
        <v>897</v>
      </c>
      <c r="B508" s="111" t="s">
        <v>898</v>
      </c>
      <c r="C508" s="60"/>
      <c r="D508" s="60"/>
      <c r="E508" s="60"/>
      <c r="F508" s="60"/>
      <c r="G508" s="60"/>
      <c r="H508" s="305"/>
      <c r="I508" s="306" t="s">
        <v>763</v>
      </c>
      <c r="J508" s="380" t="s">
        <v>70</v>
      </c>
      <c r="K508" s="380" t="s">
        <v>325</v>
      </c>
      <c r="L508" s="83" t="s">
        <v>27</v>
      </c>
      <c r="M508" s="83" t="s">
        <v>41</v>
      </c>
      <c r="N508" s="148">
        <v>63717.5</v>
      </c>
      <c r="O508" s="148">
        <v>63717.5</v>
      </c>
      <c r="P508" s="472">
        <v>56184.5</v>
      </c>
      <c r="Q508" s="68">
        <v>56184.5</v>
      </c>
      <c r="R508" s="235">
        <v>56184.5</v>
      </c>
    </row>
    <row r="509" spans="1:18" s="167" customFormat="1" ht="108.75" customHeight="1" hidden="1">
      <c r="A509" s="90" t="s">
        <v>6</v>
      </c>
      <c r="B509" s="91" t="s">
        <v>338</v>
      </c>
      <c r="C509" s="90" t="s">
        <v>31</v>
      </c>
      <c r="D509" s="90" t="s">
        <v>31</v>
      </c>
      <c r="E509" s="90" t="s">
        <v>31</v>
      </c>
      <c r="F509" s="90" t="s">
        <v>31</v>
      </c>
      <c r="G509" s="90" t="s">
        <v>31</v>
      </c>
      <c r="H509" s="90" t="s">
        <v>31</v>
      </c>
      <c r="I509" s="2" t="s">
        <v>339</v>
      </c>
      <c r="J509" s="2" t="s">
        <v>70</v>
      </c>
      <c r="K509" s="16" t="s">
        <v>334</v>
      </c>
      <c r="L509" s="91" t="s">
        <v>35</v>
      </c>
      <c r="M509" s="91" t="s">
        <v>36</v>
      </c>
      <c r="N509" s="90"/>
      <c r="O509" s="90"/>
      <c r="P509" s="90"/>
      <c r="Q509" s="90"/>
      <c r="R509" s="141"/>
    </row>
    <row r="510" spans="1:18" s="167" customFormat="1" ht="12.75" customHeight="1">
      <c r="A510" s="66" t="s">
        <v>899</v>
      </c>
      <c r="B510" s="67">
        <v>2352</v>
      </c>
      <c r="C510" s="66" t="s">
        <v>31</v>
      </c>
      <c r="D510" s="66" t="s">
        <v>31</v>
      </c>
      <c r="E510" s="66" t="s">
        <v>31</v>
      </c>
      <c r="F510" s="66" t="s">
        <v>31</v>
      </c>
      <c r="G510" s="66" t="s">
        <v>31</v>
      </c>
      <c r="H510" s="66" t="s">
        <v>31</v>
      </c>
      <c r="I510" s="66" t="s">
        <v>31</v>
      </c>
      <c r="J510" s="66" t="s">
        <v>31</v>
      </c>
      <c r="K510" s="125" t="s">
        <v>31</v>
      </c>
      <c r="L510" s="67" t="s">
        <v>23</v>
      </c>
      <c r="M510" s="67" t="s">
        <v>37</v>
      </c>
      <c r="N510" s="68">
        <f>SUM(N511:N512)</f>
        <v>1210.608</v>
      </c>
      <c r="O510" s="68">
        <f>SUM(O511:O512)</f>
        <v>350</v>
      </c>
      <c r="P510" s="68">
        <f>SUM(P511:P512)</f>
        <v>1702.6819999999998</v>
      </c>
      <c r="Q510" s="68">
        <f>SUM(Q511:Q512)</f>
        <v>0</v>
      </c>
      <c r="R510" s="68">
        <f>SUM(R511:R512)</f>
        <v>0</v>
      </c>
    </row>
    <row r="511" spans="1:18" s="166" customFormat="1" ht="72.75" customHeight="1">
      <c r="A511" s="75"/>
      <c r="B511" s="122" t="s">
        <v>340</v>
      </c>
      <c r="C511" s="527" t="s">
        <v>389</v>
      </c>
      <c r="D511" s="527" t="s">
        <v>207</v>
      </c>
      <c r="E511" s="527" t="s">
        <v>208</v>
      </c>
      <c r="F511" s="527" t="s">
        <v>451</v>
      </c>
      <c r="G511" s="527" t="s">
        <v>452</v>
      </c>
      <c r="H511" s="599" t="s">
        <v>453</v>
      </c>
      <c r="I511" s="447" t="s">
        <v>1266</v>
      </c>
      <c r="J511" s="22" t="s">
        <v>70</v>
      </c>
      <c r="K511" s="455" t="s">
        <v>210</v>
      </c>
      <c r="L511" s="85"/>
      <c r="M511" s="85"/>
      <c r="N511" s="35">
        <v>860.608</v>
      </c>
      <c r="O511" s="35">
        <v>0</v>
      </c>
      <c r="P511" s="35">
        <f>421.037+421.037</f>
        <v>842.074</v>
      </c>
      <c r="Q511" s="35">
        <v>0</v>
      </c>
      <c r="R511" s="236">
        <v>0</v>
      </c>
    </row>
    <row r="512" spans="1:18" s="166" customFormat="1" ht="72.75" customHeight="1">
      <c r="A512" s="75"/>
      <c r="B512" s="95" t="s">
        <v>1244</v>
      </c>
      <c r="C512" s="528"/>
      <c r="D512" s="528"/>
      <c r="E512" s="528"/>
      <c r="F512" s="528"/>
      <c r="G512" s="528"/>
      <c r="H512" s="600"/>
      <c r="I512" s="260" t="s">
        <v>1264</v>
      </c>
      <c r="J512" s="23" t="s">
        <v>70</v>
      </c>
      <c r="K512" s="261" t="s">
        <v>1265</v>
      </c>
      <c r="L512" s="85"/>
      <c r="M512" s="85"/>
      <c r="N512" s="35">
        <v>350</v>
      </c>
      <c r="O512" s="35">
        <v>350</v>
      </c>
      <c r="P512" s="35">
        <v>860.608</v>
      </c>
      <c r="Q512" s="35">
        <v>0</v>
      </c>
      <c r="R512" s="236">
        <v>0</v>
      </c>
    </row>
    <row r="513" spans="1:18" s="166" customFormat="1" ht="23.25" customHeight="1">
      <c r="A513" s="159" t="s">
        <v>54</v>
      </c>
      <c r="B513" s="64" t="s">
        <v>55</v>
      </c>
      <c r="C513" s="64" t="s">
        <v>29</v>
      </c>
      <c r="D513" s="64" t="s">
        <v>29</v>
      </c>
      <c r="E513" s="64" t="s">
        <v>29</v>
      </c>
      <c r="F513" s="64" t="s">
        <v>29</v>
      </c>
      <c r="G513" s="64" t="s">
        <v>29</v>
      </c>
      <c r="H513" s="64" t="s">
        <v>29</v>
      </c>
      <c r="I513" s="64" t="s">
        <v>29</v>
      </c>
      <c r="J513" s="64" t="s">
        <v>29</v>
      </c>
      <c r="K513" s="64" t="s">
        <v>29</v>
      </c>
      <c r="L513" s="64"/>
      <c r="M513" s="64"/>
      <c r="N513" s="163">
        <f>N6</f>
        <v>1732052.5701199998</v>
      </c>
      <c r="O513" s="163">
        <f>O6</f>
        <v>1647374.21912</v>
      </c>
      <c r="P513" s="163">
        <f>P6</f>
        <v>1761213.53917</v>
      </c>
      <c r="Q513" s="163">
        <f>Q6</f>
        <v>1319444.317</v>
      </c>
      <c r="R513" s="163">
        <f>R6</f>
        <v>1321593.417</v>
      </c>
    </row>
    <row r="514" spans="1:18" ht="51" customHeight="1">
      <c r="A514" s="55"/>
      <c r="B514" s="388"/>
      <c r="C514" s="55"/>
      <c r="D514" s="55"/>
      <c r="E514" s="55"/>
      <c r="F514" s="55"/>
      <c r="G514" s="55"/>
      <c r="H514" s="55"/>
      <c r="I514" s="55"/>
      <c r="J514" s="55"/>
      <c r="K514" s="55"/>
      <c r="L514" s="55"/>
      <c r="M514" s="55"/>
      <c r="N514" s="55"/>
      <c r="O514" s="55"/>
      <c r="P514" s="55"/>
      <c r="Q514" s="55"/>
      <c r="R514" s="55"/>
    </row>
    <row r="515" spans="1:18" ht="13.5" customHeight="1">
      <c r="A515" s="53"/>
      <c r="C515" s="53"/>
      <c r="D515" s="53"/>
      <c r="E515" s="53"/>
      <c r="F515" s="53"/>
      <c r="G515" s="53"/>
      <c r="H515" s="53"/>
      <c r="I515" s="53"/>
      <c r="J515" s="53"/>
      <c r="K515" s="53"/>
      <c r="L515" s="53"/>
      <c r="M515" s="53"/>
      <c r="N515" s="605"/>
      <c r="O515" s="605"/>
      <c r="P515" s="605"/>
      <c r="Q515" s="605"/>
      <c r="R515" s="605"/>
    </row>
    <row r="516" spans="1:18" s="169" customFormat="1" ht="15.75">
      <c r="A516" s="56"/>
      <c r="B516" s="390"/>
      <c r="C516" s="56"/>
      <c r="D516" s="56"/>
      <c r="E516" s="56"/>
      <c r="F516" s="56"/>
      <c r="G516" s="56"/>
      <c r="H516" s="56"/>
      <c r="I516" s="56"/>
      <c r="J516" s="56"/>
      <c r="K516" s="56"/>
      <c r="L516" s="56"/>
      <c r="M516" s="56"/>
      <c r="N516" s="56"/>
      <c r="O516" s="56"/>
      <c r="P516" s="56"/>
      <c r="Q516" s="56"/>
      <c r="R516" s="56"/>
    </row>
    <row r="517" spans="1:18" s="169" customFormat="1" ht="15.75">
      <c r="A517" s="54"/>
      <c r="B517" s="390"/>
      <c r="C517" s="54"/>
      <c r="D517" s="54"/>
      <c r="E517" s="54"/>
      <c r="F517" s="54"/>
      <c r="G517" s="54"/>
      <c r="H517" s="54"/>
      <c r="I517" s="54"/>
      <c r="J517" s="54"/>
      <c r="K517" s="54"/>
      <c r="L517" s="54"/>
      <c r="M517" s="54"/>
      <c r="N517" s="54"/>
      <c r="O517" s="54"/>
      <c r="P517" s="54"/>
      <c r="Q517" s="54"/>
      <c r="R517" s="54"/>
    </row>
    <row r="518" spans="14:17" ht="18.75">
      <c r="N518" s="602"/>
      <c r="O518" s="602"/>
      <c r="P518" s="602"/>
      <c r="Q518" s="170"/>
    </row>
  </sheetData>
  <sheetProtection/>
  <mergeCells count="309">
    <mergeCell ref="J120:J121"/>
    <mergeCell ref="K120:K121"/>
    <mergeCell ref="L120:L121"/>
    <mergeCell ref="M120:M121"/>
    <mergeCell ref="H454:H457"/>
    <mergeCell ref="G454:G457"/>
    <mergeCell ref="I451:I453"/>
    <mergeCell ref="J451:J453"/>
    <mergeCell ref="K451:K453"/>
    <mergeCell ref="I454:I456"/>
    <mergeCell ref="F454:F457"/>
    <mergeCell ref="E454:E457"/>
    <mergeCell ref="D454:D457"/>
    <mergeCell ref="C454:C457"/>
    <mergeCell ref="H451:H453"/>
    <mergeCell ref="G451:G453"/>
    <mergeCell ref="F451:F453"/>
    <mergeCell ref="E451:E453"/>
    <mergeCell ref="D451:D453"/>
    <mergeCell ref="C451:C453"/>
    <mergeCell ref="J454:J456"/>
    <mergeCell ref="K454:K456"/>
    <mergeCell ref="H488:H489"/>
    <mergeCell ref="A488:A489"/>
    <mergeCell ref="B488:B489"/>
    <mergeCell ref="C488:C489"/>
    <mergeCell ref="D488:D489"/>
    <mergeCell ref="E488:E489"/>
    <mergeCell ref="F488:F489"/>
    <mergeCell ref="A454:A457"/>
    <mergeCell ref="A451:A453"/>
    <mergeCell ref="I198:I199"/>
    <mergeCell ref="F41:F45"/>
    <mergeCell ref="G41:G45"/>
    <mergeCell ref="H41:H45"/>
    <mergeCell ref="H51:H52"/>
    <mergeCell ref="A51:A52"/>
    <mergeCell ref="A58:A59"/>
    <mergeCell ref="I271:I273"/>
    <mergeCell ref="F95:F96"/>
    <mergeCell ref="A56:A57"/>
    <mergeCell ref="A81:A82"/>
    <mergeCell ref="A83:A84"/>
    <mergeCell ref="I218:I220"/>
    <mergeCell ref="I221:I223"/>
    <mergeCell ref="E229:E230"/>
    <mergeCell ref="I120:I121"/>
    <mergeCell ref="A126:A127"/>
    <mergeCell ref="D118:D119"/>
    <mergeCell ref="F144:F148"/>
    <mergeCell ref="H234:H235"/>
    <mergeCell ref="G296:G299"/>
    <mergeCell ref="J221:J223"/>
    <mergeCell ref="J229:J230"/>
    <mergeCell ref="K271:K273"/>
    <mergeCell ref="I263:I270"/>
    <mergeCell ref="J263:J270"/>
    <mergeCell ref="K263:K270"/>
    <mergeCell ref="J218:J220"/>
    <mergeCell ref="H229:H230"/>
    <mergeCell ref="H296:H299"/>
    <mergeCell ref="G263:G273"/>
    <mergeCell ref="H263:H273"/>
    <mergeCell ref="F209:F210"/>
    <mergeCell ref="J271:J273"/>
    <mergeCell ref="H218:H223"/>
    <mergeCell ref="F229:F230"/>
    <mergeCell ref="G234:G235"/>
    <mergeCell ref="G181:G182"/>
    <mergeCell ref="G229:G230"/>
    <mergeCell ref="D126:D127"/>
    <mergeCell ref="D149:D151"/>
    <mergeCell ref="C149:C151"/>
    <mergeCell ref="E149:E151"/>
    <mergeCell ref="F218:F223"/>
    <mergeCell ref="C229:C230"/>
    <mergeCell ref="K77:K78"/>
    <mergeCell ref="J77:J78"/>
    <mergeCell ref="G77:G78"/>
    <mergeCell ref="H77:H78"/>
    <mergeCell ref="F77:F78"/>
    <mergeCell ref="G138:G139"/>
    <mergeCell ref="K98:K99"/>
    <mergeCell ref="G118:G119"/>
    <mergeCell ref="F138:F140"/>
    <mergeCell ref="J83:J84"/>
    <mergeCell ref="M150:M151"/>
    <mergeCell ref="F141:F142"/>
    <mergeCell ref="G141:G142"/>
    <mergeCell ref="F149:F151"/>
    <mergeCell ref="K141:K142"/>
    <mergeCell ref="L150:L151"/>
    <mergeCell ref="I141:I142"/>
    <mergeCell ref="J141:J142"/>
    <mergeCell ref="G149:G151"/>
    <mergeCell ref="H149:H151"/>
    <mergeCell ref="K51:K52"/>
    <mergeCell ref="H95:H96"/>
    <mergeCell ref="H98:H99"/>
    <mergeCell ref="F51:F52"/>
    <mergeCell ref="G51:G52"/>
    <mergeCell ref="G95:G96"/>
    <mergeCell ref="F98:F99"/>
    <mergeCell ref="G98:G99"/>
    <mergeCell ref="J51:J52"/>
    <mergeCell ref="I77:I78"/>
    <mergeCell ref="N518:P518"/>
    <mergeCell ref="J494:J495"/>
    <mergeCell ref="K494:K495"/>
    <mergeCell ref="J355:J356"/>
    <mergeCell ref="N515:R515"/>
    <mergeCell ref="K234:K235"/>
    <mergeCell ref="K379:K380"/>
    <mergeCell ref="J234:J235"/>
    <mergeCell ref="K297:K298"/>
    <mergeCell ref="K355:K356"/>
    <mergeCell ref="G511:G512"/>
    <mergeCell ref="H511:H512"/>
    <mergeCell ref="J379:J380"/>
    <mergeCell ref="I379:I380"/>
    <mergeCell ref="G494:G495"/>
    <mergeCell ref="I355:I356"/>
    <mergeCell ref="I364:I366"/>
    <mergeCell ref="H364:H366"/>
    <mergeCell ref="G364:G366"/>
    <mergeCell ref="G488:G489"/>
    <mergeCell ref="E379:E380"/>
    <mergeCell ref="H370:H371"/>
    <mergeCell ref="H494:H495"/>
    <mergeCell ref="I494:I495"/>
    <mergeCell ref="H379:H380"/>
    <mergeCell ref="G370:G371"/>
    <mergeCell ref="E369:E371"/>
    <mergeCell ref="F379:F380"/>
    <mergeCell ref="F370:F371"/>
    <mergeCell ref="G379:G380"/>
    <mergeCell ref="M156:M157"/>
    <mergeCell ref="L156:L157"/>
    <mergeCell ref="J364:J366"/>
    <mergeCell ref="K364:K366"/>
    <mergeCell ref="G218:G223"/>
    <mergeCell ref="K229:K230"/>
    <mergeCell ref="I234:I235"/>
    <mergeCell ref="K218:K220"/>
    <mergeCell ref="H355:H356"/>
    <mergeCell ref="G355:G356"/>
    <mergeCell ref="C511:C512"/>
    <mergeCell ref="D511:D512"/>
    <mergeCell ref="E511:E512"/>
    <mergeCell ref="F511:F512"/>
    <mergeCell ref="E494:E495"/>
    <mergeCell ref="F494:F495"/>
    <mergeCell ref="C494:C495"/>
    <mergeCell ref="D494:D495"/>
    <mergeCell ref="Q128:Q129"/>
    <mergeCell ref="I98:I99"/>
    <mergeCell ref="A95:A96"/>
    <mergeCell ref="B95:B96"/>
    <mergeCell ref="C98:C99"/>
    <mergeCell ref="P128:P129"/>
    <mergeCell ref="O128:O129"/>
    <mergeCell ref="B118:B119"/>
    <mergeCell ref="M128:M129"/>
    <mergeCell ref="L128:L129"/>
    <mergeCell ref="A1:R1"/>
    <mergeCell ref="C2:K2"/>
    <mergeCell ref="C3:E3"/>
    <mergeCell ref="I3:K3"/>
    <mergeCell ref="F3:H3"/>
    <mergeCell ref="N128:N129"/>
    <mergeCell ref="A2:A4"/>
    <mergeCell ref="L2:M3"/>
    <mergeCell ref="A12:A15"/>
    <mergeCell ref="E98:E99"/>
    <mergeCell ref="I51:I52"/>
    <mergeCell ref="C126:C127"/>
    <mergeCell ref="D162:D165"/>
    <mergeCell ref="H138:H140"/>
    <mergeCell ref="H141:H142"/>
    <mergeCell ref="I83:I84"/>
    <mergeCell ref="F111:F112"/>
    <mergeCell ref="G111:G112"/>
    <mergeCell ref="D234:D235"/>
    <mergeCell ref="F115:F116"/>
    <mergeCell ref="E126:E127"/>
    <mergeCell ref="J98:J99"/>
    <mergeCell ref="H111:H112"/>
    <mergeCell ref="F118:F119"/>
    <mergeCell ref="H181:H182"/>
    <mergeCell ref="I229:I230"/>
    <mergeCell ref="D98:D99"/>
    <mergeCell ref="F181:F182"/>
    <mergeCell ref="A9:A10"/>
    <mergeCell ref="A16:A18"/>
    <mergeCell ref="A20:A22"/>
    <mergeCell ref="B20:B22"/>
    <mergeCell ref="A98:A99"/>
    <mergeCell ref="A73:A75"/>
    <mergeCell ref="B73:B75"/>
    <mergeCell ref="A38:A39"/>
    <mergeCell ref="B38:B39"/>
    <mergeCell ref="A47:A49"/>
    <mergeCell ref="A77:A78"/>
    <mergeCell ref="A115:A116"/>
    <mergeCell ref="A117:A119"/>
    <mergeCell ref="A149:A151"/>
    <mergeCell ref="A176:A178"/>
    <mergeCell ref="A191:A192"/>
    <mergeCell ref="A113:A114"/>
    <mergeCell ref="A138:A139"/>
    <mergeCell ref="A144:A148"/>
    <mergeCell ref="A141:A142"/>
    <mergeCell ref="A438:A439"/>
    <mergeCell ref="C296:C299"/>
    <mergeCell ref="D364:D366"/>
    <mergeCell ref="A368:A371"/>
    <mergeCell ref="C369:C371"/>
    <mergeCell ref="E255:E256"/>
    <mergeCell ref="A353:A354"/>
    <mergeCell ref="D301:D302"/>
    <mergeCell ref="A360:A362"/>
    <mergeCell ref="A329:A330"/>
    <mergeCell ref="B2:B4"/>
    <mergeCell ref="N2:R2"/>
    <mergeCell ref="N3:O3"/>
    <mergeCell ref="E162:E165"/>
    <mergeCell ref="C30:C31"/>
    <mergeCell ref="E118:E119"/>
    <mergeCell ref="R128:R129"/>
    <mergeCell ref="H118:H119"/>
    <mergeCell ref="B113:B114"/>
    <mergeCell ref="B47:B49"/>
    <mergeCell ref="E30:E31"/>
    <mergeCell ref="C255:C256"/>
    <mergeCell ref="C234:C235"/>
    <mergeCell ref="B248:B249"/>
    <mergeCell ref="B12:B15"/>
    <mergeCell ref="C162:C165"/>
    <mergeCell ref="D255:D256"/>
    <mergeCell ref="E234:E235"/>
    <mergeCell ref="C38:C39"/>
    <mergeCell ref="D38:D39"/>
    <mergeCell ref="C379:C380"/>
    <mergeCell ref="D355:D356"/>
    <mergeCell ref="C118:C119"/>
    <mergeCell ref="I297:I299"/>
    <mergeCell ref="J297:J298"/>
    <mergeCell ref="C301:C302"/>
    <mergeCell ref="E301:E302"/>
    <mergeCell ref="F355:F357"/>
    <mergeCell ref="F234:F235"/>
    <mergeCell ref="D229:D230"/>
    <mergeCell ref="D379:D380"/>
    <mergeCell ref="I38:I39"/>
    <mergeCell ref="E38:E39"/>
    <mergeCell ref="G38:G39"/>
    <mergeCell ref="K38:K39"/>
    <mergeCell ref="J38:J39"/>
    <mergeCell ref="E288:E292"/>
    <mergeCell ref="E263:E273"/>
    <mergeCell ref="D288:D292"/>
    <mergeCell ref="K221:K223"/>
    <mergeCell ref="F296:F299"/>
    <mergeCell ref="A248:A249"/>
    <mergeCell ref="Q3:Q4"/>
    <mergeCell ref="P3:P4"/>
    <mergeCell ref="F38:F39"/>
    <mergeCell ref="F30:F31"/>
    <mergeCell ref="H38:H39"/>
    <mergeCell ref="B9:B10"/>
    <mergeCell ref="B16:B18"/>
    <mergeCell ref="D30:D31"/>
    <mergeCell ref="B263:B273"/>
    <mergeCell ref="A355:A357"/>
    <mergeCell ref="E355:E356"/>
    <mergeCell ref="C355:C356"/>
    <mergeCell ref="A301:A302"/>
    <mergeCell ref="A263:A273"/>
    <mergeCell ref="C288:C292"/>
    <mergeCell ref="A257:A260"/>
    <mergeCell ref="F286:F287"/>
    <mergeCell ref="F255:F256"/>
    <mergeCell ref="D369:D371"/>
    <mergeCell ref="E296:E298"/>
    <mergeCell ref="D263:D273"/>
    <mergeCell ref="F288:F289"/>
    <mergeCell ref="A364:A366"/>
    <mergeCell ref="F364:F366"/>
    <mergeCell ref="D296:D298"/>
    <mergeCell ref="A500:A501"/>
    <mergeCell ref="G288:G289"/>
    <mergeCell ref="H288:H289"/>
    <mergeCell ref="F290:F292"/>
    <mergeCell ref="A261:A262"/>
    <mergeCell ref="C364:C366"/>
    <mergeCell ref="F263:F273"/>
    <mergeCell ref="A341:A342"/>
    <mergeCell ref="E364:E366"/>
    <mergeCell ref="C263:C273"/>
    <mergeCell ref="K83:K84"/>
    <mergeCell ref="I58:I59"/>
    <mergeCell ref="J58:J59"/>
    <mergeCell ref="K58:K59"/>
    <mergeCell ref="I56:I57"/>
    <mergeCell ref="J56:J57"/>
    <mergeCell ref="K56:K57"/>
    <mergeCell ref="I81:I82"/>
    <mergeCell ref="J81:J82"/>
    <mergeCell ref="K81:K82"/>
  </mergeCells>
  <printOptions/>
  <pageMargins left="0.15748031496062992" right="0" top="1.0236220472440944" bottom="0.6692913385826772" header="0.3937007874015748" footer="0.3937007874015748"/>
  <pageSetup horizontalDpi="600" verticalDpi="600" orientation="landscape" paperSize="9" scale="61" r:id="rId1"/>
  <headerFooter alignWithMargins="0">
    <oddFooter>&amp;L&amp;C&amp;"Arial"&amp;10&amp;P &amp;R</oddFooter>
  </headerFooter>
</worksheet>
</file>

<file path=xl/worksheets/sheet2.xml><?xml version="1.0" encoding="utf-8"?>
<worksheet xmlns="http://schemas.openxmlformats.org/spreadsheetml/2006/main" xmlns:r="http://schemas.openxmlformats.org/officeDocument/2006/relationships">
  <dimension ref="A2:EE42"/>
  <sheetViews>
    <sheetView zoomScalePageLayoutView="0" workbookViewId="0" topLeftCell="A1">
      <pane xSplit="1" ySplit="2" topLeftCell="AE11" activePane="bottomRight" state="frozen"/>
      <selection pane="topLeft" activeCell="A1" sqref="A1"/>
      <selection pane="topRight" activeCell="B1" sqref="B1"/>
      <selection pane="bottomLeft" activeCell="A3" sqref="A3"/>
      <selection pane="bottomRight" activeCell="ED42" sqref="ED42"/>
    </sheetView>
  </sheetViews>
  <sheetFormatPr defaultColWidth="9.140625" defaultRowHeight="12.75"/>
  <cols>
    <col min="1" max="1" width="6.00390625" style="186" customWidth="1"/>
    <col min="2" max="3" width="8.8515625" style="187" customWidth="1"/>
    <col min="4" max="4" width="6.7109375" style="187" customWidth="1"/>
    <col min="5" max="5" width="4.7109375" style="187" customWidth="1"/>
    <col min="6" max="7" width="7.28125" style="187" customWidth="1"/>
    <col min="8" max="9" width="7.140625" style="187" customWidth="1"/>
    <col min="10" max="13" width="7.57421875" style="187" customWidth="1"/>
    <col min="14" max="15" width="9.7109375" style="187" customWidth="1"/>
    <col min="16" max="17" width="8.8515625" style="187" customWidth="1"/>
    <col min="18" max="19" width="8.28125" style="187" customWidth="1"/>
    <col min="20" max="21" width="8.140625" style="187" customWidth="1"/>
    <col min="22" max="23" width="7.7109375" style="187" customWidth="1"/>
    <col min="24" max="25" width="6.00390625" style="187" customWidth="1"/>
    <col min="26" max="26" width="7.421875" style="187" customWidth="1"/>
    <col min="27" max="27" width="8.8515625" style="187" customWidth="1"/>
    <col min="28" max="29" width="7.8515625" style="187" customWidth="1"/>
    <col min="30" max="31" width="8.28125" style="187" customWidth="1"/>
    <col min="32" max="35" width="6.28125" style="187" customWidth="1"/>
    <col min="36" max="37" width="7.57421875" style="187" customWidth="1"/>
    <col min="38" max="39" width="7.7109375" style="187" customWidth="1"/>
    <col min="40" max="41" width="8.421875" style="187" customWidth="1"/>
    <col min="42" max="43" width="6.7109375" style="187" customWidth="1"/>
    <col min="44" max="45" width="8.7109375" style="187" customWidth="1"/>
    <col min="46" max="47" width="8.140625" style="62" customWidth="1"/>
    <col min="48" max="49" width="8.7109375" style="62" customWidth="1"/>
    <col min="50" max="51" width="8.57421875" style="62" customWidth="1"/>
    <col min="52" max="55" width="8.140625" style="62" customWidth="1"/>
    <col min="56" max="57" width="6.140625" style="62" customWidth="1"/>
    <col min="58" max="59" width="6.28125" style="62" customWidth="1"/>
    <col min="60" max="61" width="8.421875" style="62" customWidth="1"/>
    <col min="62" max="65" width="7.421875" style="62" customWidth="1"/>
    <col min="66" max="67" width="9.140625" style="62" customWidth="1"/>
    <col min="68" max="69" width="6.421875" style="62" customWidth="1"/>
    <col min="70" max="71" width="7.421875" style="62" customWidth="1"/>
    <col min="72" max="73" width="7.28125" style="62" customWidth="1"/>
    <col min="74" max="75" width="6.140625" style="62" customWidth="1"/>
    <col min="76" max="77" width="6.8515625" style="62" customWidth="1"/>
    <col min="78" max="79" width="6.140625" style="62" customWidth="1"/>
    <col min="80" max="80" width="7.421875" style="62" customWidth="1"/>
    <col min="81" max="81" width="6.28125" style="62" customWidth="1"/>
    <col min="82" max="83" width="7.57421875" style="62" customWidth="1"/>
    <col min="84" max="89" width="7.421875" style="62" customWidth="1"/>
    <col min="90" max="90" width="7.28125" style="62" customWidth="1"/>
    <col min="91" max="91" width="6.7109375" style="62" customWidth="1"/>
    <col min="92" max="93" width="9.00390625" style="62" customWidth="1"/>
    <col min="94" max="95" width="7.57421875" style="62" customWidth="1"/>
    <col min="96" max="97" width="9.140625" style="62" customWidth="1"/>
    <col min="98" max="99" width="11.28125" style="62" customWidth="1"/>
    <col min="100" max="101" width="8.8515625" style="62" customWidth="1"/>
    <col min="102" max="103" width="8.00390625" style="62" customWidth="1"/>
    <col min="104" max="105" width="8.421875" style="62" customWidth="1"/>
    <col min="106" max="107" width="5.8515625" style="62" customWidth="1"/>
    <col min="108" max="109" width="9.57421875" style="62" customWidth="1"/>
    <col min="110" max="111" width="8.421875" style="62" customWidth="1"/>
    <col min="112" max="113" width="6.7109375" style="62" customWidth="1"/>
    <col min="114" max="115" width="8.7109375" style="62" customWidth="1"/>
    <col min="116" max="117" width="6.57421875" style="62" customWidth="1"/>
    <col min="118" max="119" width="7.57421875" style="62" customWidth="1"/>
    <col min="120" max="121" width="7.421875" style="62" customWidth="1"/>
    <col min="122" max="123" width="7.8515625" style="62" customWidth="1"/>
    <col min="124" max="125" width="6.421875" style="62" customWidth="1"/>
    <col min="126" max="127" width="8.8515625" style="62" customWidth="1"/>
    <col min="128" max="129" width="6.00390625" style="62" customWidth="1"/>
    <col min="130" max="131" width="9.00390625" style="62" customWidth="1"/>
    <col min="132" max="133" width="9.28125" style="62" customWidth="1"/>
    <col min="134" max="135" width="12.00390625" style="62" customWidth="1"/>
    <col min="136" max="16384" width="9.140625" style="62" customWidth="1"/>
  </cols>
  <sheetData>
    <row r="2" spans="1:135" s="183" customFormat="1" ht="12.75">
      <c r="A2" s="182"/>
      <c r="B2" s="628" t="s">
        <v>34</v>
      </c>
      <c r="C2" s="629"/>
      <c r="D2" s="628" t="s">
        <v>415</v>
      </c>
      <c r="E2" s="629"/>
      <c r="F2" s="628" t="s">
        <v>39</v>
      </c>
      <c r="G2" s="629"/>
      <c r="H2" s="628" t="s">
        <v>789</v>
      </c>
      <c r="I2" s="629"/>
      <c r="J2" s="628" t="s">
        <v>410</v>
      </c>
      <c r="K2" s="629"/>
      <c r="L2" s="628" t="s">
        <v>42</v>
      </c>
      <c r="M2" s="629"/>
      <c r="N2" s="628" t="s">
        <v>1019</v>
      </c>
      <c r="O2" s="629"/>
      <c r="P2" s="628" t="s">
        <v>408</v>
      </c>
      <c r="Q2" s="629"/>
      <c r="R2" s="628" t="s">
        <v>663</v>
      </c>
      <c r="S2" s="629"/>
      <c r="T2" s="628" t="s">
        <v>799</v>
      </c>
      <c r="U2" s="629"/>
      <c r="V2" s="628" t="s">
        <v>684</v>
      </c>
      <c r="W2" s="629"/>
      <c r="X2" s="628" t="s">
        <v>44</v>
      </c>
      <c r="Y2" s="629"/>
      <c r="Z2" s="628" t="s">
        <v>690</v>
      </c>
      <c r="AA2" s="629"/>
      <c r="AB2" s="628" t="s">
        <v>1012</v>
      </c>
      <c r="AC2" s="629"/>
      <c r="AD2" s="628" t="s">
        <v>662</v>
      </c>
      <c r="AE2" s="629"/>
      <c r="AF2" s="628" t="s">
        <v>1017</v>
      </c>
      <c r="AG2" s="629"/>
      <c r="AH2" s="628" t="s">
        <v>1018</v>
      </c>
      <c r="AI2" s="629"/>
      <c r="AJ2" s="628" t="s">
        <v>811</v>
      </c>
      <c r="AK2" s="629"/>
      <c r="AL2" s="628" t="s">
        <v>815</v>
      </c>
      <c r="AM2" s="629"/>
      <c r="AN2" s="628" t="s">
        <v>1022</v>
      </c>
      <c r="AO2" s="629"/>
      <c r="AP2" s="628" t="s">
        <v>45</v>
      </c>
      <c r="AQ2" s="629"/>
      <c r="AR2" s="628" t="s">
        <v>1020</v>
      </c>
      <c r="AS2" s="629"/>
      <c r="AT2" s="628" t="s">
        <v>48</v>
      </c>
      <c r="AU2" s="629"/>
      <c r="AV2" s="628" t="s">
        <v>1021</v>
      </c>
      <c r="AW2" s="629"/>
      <c r="AX2" s="628" t="s">
        <v>1009</v>
      </c>
      <c r="AY2" s="629"/>
      <c r="AZ2" s="628" t="s">
        <v>659</v>
      </c>
      <c r="BA2" s="629"/>
      <c r="BB2" s="628" t="s">
        <v>664</v>
      </c>
      <c r="BC2" s="629"/>
      <c r="BD2" s="628" t="s">
        <v>1046</v>
      </c>
      <c r="BE2" s="629"/>
      <c r="BF2" s="628" t="s">
        <v>660</v>
      </c>
      <c r="BG2" s="629"/>
      <c r="BH2" s="628" t="s">
        <v>1013</v>
      </c>
      <c r="BI2" s="629"/>
      <c r="BJ2" s="628" t="s">
        <v>1010</v>
      </c>
      <c r="BK2" s="629"/>
      <c r="BL2" s="628" t="s">
        <v>1008</v>
      </c>
      <c r="BM2" s="629"/>
      <c r="BN2" s="628" t="s">
        <v>1011</v>
      </c>
      <c r="BO2" s="629"/>
      <c r="BP2" s="628" t="s">
        <v>661</v>
      </c>
      <c r="BQ2" s="629"/>
      <c r="BR2" s="628" t="s">
        <v>53</v>
      </c>
      <c r="BS2" s="629"/>
      <c r="BT2" s="628" t="s">
        <v>1014</v>
      </c>
      <c r="BU2" s="629"/>
      <c r="BV2" s="628" t="s">
        <v>1015</v>
      </c>
      <c r="BW2" s="629"/>
      <c r="BX2" s="628" t="s">
        <v>1016</v>
      </c>
      <c r="BY2" s="629"/>
      <c r="BZ2" s="628" t="s">
        <v>1024</v>
      </c>
      <c r="CA2" s="629"/>
      <c r="CB2" s="628" t="s">
        <v>1032</v>
      </c>
      <c r="CC2" s="629"/>
      <c r="CD2" s="628" t="s">
        <v>1027</v>
      </c>
      <c r="CE2" s="629"/>
      <c r="CF2" s="628" t="s">
        <v>691</v>
      </c>
      <c r="CG2" s="629"/>
      <c r="CH2" s="628" t="s">
        <v>1023</v>
      </c>
      <c r="CI2" s="629"/>
      <c r="CJ2" s="628" t="s">
        <v>1025</v>
      </c>
      <c r="CK2" s="629"/>
      <c r="CL2" s="628" t="s">
        <v>1028</v>
      </c>
      <c r="CM2" s="629"/>
      <c r="CN2" s="628" t="s">
        <v>1031</v>
      </c>
      <c r="CO2" s="629"/>
      <c r="CP2" s="628" t="s">
        <v>1026</v>
      </c>
      <c r="CQ2" s="629"/>
      <c r="CR2" s="628" t="s">
        <v>1030</v>
      </c>
      <c r="CS2" s="629"/>
      <c r="CT2" s="628" t="s">
        <v>1029</v>
      </c>
      <c r="CU2" s="629"/>
      <c r="CV2" s="628" t="s">
        <v>1045</v>
      </c>
      <c r="CW2" s="629"/>
      <c r="CX2" s="628" t="s">
        <v>1034</v>
      </c>
      <c r="CY2" s="629"/>
      <c r="CZ2" s="628" t="s">
        <v>1042</v>
      </c>
      <c r="DA2" s="629"/>
      <c r="DB2" s="628" t="s">
        <v>1033</v>
      </c>
      <c r="DC2" s="629"/>
      <c r="DD2" s="628" t="s">
        <v>1040</v>
      </c>
      <c r="DE2" s="629"/>
      <c r="DF2" s="628" t="s">
        <v>1037</v>
      </c>
      <c r="DG2" s="629"/>
      <c r="DH2" s="628" t="s">
        <v>867</v>
      </c>
      <c r="DI2" s="629"/>
      <c r="DJ2" s="628" t="s">
        <v>869</v>
      </c>
      <c r="DK2" s="629"/>
      <c r="DL2" s="628" t="s">
        <v>874</v>
      </c>
      <c r="DM2" s="629"/>
      <c r="DN2" s="628" t="s">
        <v>1035</v>
      </c>
      <c r="DO2" s="629"/>
      <c r="DP2" s="628" t="s">
        <v>1038</v>
      </c>
      <c r="DQ2" s="629"/>
      <c r="DR2" s="628" t="s">
        <v>1044</v>
      </c>
      <c r="DS2" s="629"/>
      <c r="DT2" s="628" t="s">
        <v>882</v>
      </c>
      <c r="DU2" s="629"/>
      <c r="DV2" s="628" t="s">
        <v>1041</v>
      </c>
      <c r="DW2" s="629"/>
      <c r="DX2" s="628" t="s">
        <v>1036</v>
      </c>
      <c r="DY2" s="629"/>
      <c r="DZ2" s="628" t="s">
        <v>898</v>
      </c>
      <c r="EA2" s="629"/>
      <c r="EB2" s="628" t="s">
        <v>1043</v>
      </c>
      <c r="EC2" s="629"/>
      <c r="ED2" s="630" t="s">
        <v>428</v>
      </c>
      <c r="EE2" s="630"/>
    </row>
    <row r="3" spans="1:135" ht="12.75">
      <c r="A3" s="184" t="s">
        <v>401</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v>617.2</v>
      </c>
      <c r="BA3" s="61">
        <v>608.537</v>
      </c>
      <c r="BB3" s="61">
        <v>3031.555</v>
      </c>
      <c r="BC3" s="61">
        <v>3020.249</v>
      </c>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307">
        <f>B3+D3+F3+H3+J3+L3+N3+P3+R3+T3+V3+X3+Z3+AB3+AD3+AF3+AH3+AJ3+AL3+AN3+AP3+AR3+AT3+AV3+AX3+AZ3+BB3+BD3+BF3+BH3+BJ3+BL3+BN3+BP3+BR3+BT3+BV3+BX3+BZ3+CB3+CD3+CF3+CH3+CJ3+CL3+CN3+CP3+CR3+CT3+CV3+CX3+CZ3+DB3+DD3+DF3+DH3+DJ3+DL3+DN3+DP3+DR3+DT3+DV3+DX3+DZ3+EB3</f>
        <v>3648.755</v>
      </c>
      <c r="EE3" s="307">
        <f>C3+E3+G3+I3+K3+M3+O3+Q3+S3+U3+W3+Y3+AA3+AC3+AE3+AG3+AI3+AK3+AM3+AO3+AQ3+AS3+AU3+AW3+AY3+BA3+BC3+BE3+BG3+BI3+BK3+BM3+BO3+BQ3+BS3+BU3+BW3+BY3+CA3+CC3+CE3+CG3+CI3+CK3+CM3+CO3+CQ3+CS3+CU3+CW3+CY3+DA3+DC3+DE3+DG3+DI3+DK3+DM3+DO3+DQ3+DS3+DU3+DW3+DY3+EA3+EC3</f>
        <v>3628.786</v>
      </c>
    </row>
    <row r="4" spans="1:135" ht="12.75">
      <c r="A4" s="184" t="s">
        <v>402</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v>1162.148</v>
      </c>
      <c r="BA4" s="61">
        <v>1138.096</v>
      </c>
      <c r="BB4" s="61">
        <v>1464</v>
      </c>
      <c r="BC4" s="61">
        <v>1462.542</v>
      </c>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307">
        <f aca="true" t="shared" si="0" ref="ED4:ED40">B4+D4+F4+H4+J4+L4+N4+P4+R4+T4+V4+X4+Z4+AB4+AD4+AF4+AH4+AJ4+AL4+AN4+AP4+AR4+AT4+AV4+AX4+AZ4+BB4+BD4+BF4+BH4+BJ4+BL4+BN4+BP4+BR4+BT4+BV4+BX4+BZ4+CB4+CD4+CF4+CH4+CJ4+CL4+CN4+CP4+CR4+CT4+CV4+CX4+CZ4+DB4+DD4+DF4+DH4+DJ4+DL4+DN4+DP4+DR4+DT4+DV4+DX4+DZ4+EB4</f>
        <v>2626.148</v>
      </c>
      <c r="EE4" s="307">
        <f aca="true" t="shared" si="1" ref="EE4:EE40">C4+E4+G4+I4+K4+M4+O4+Q4+S4+U4+W4+Y4+AA4+AC4+AE4+AG4+AI4+AK4+AM4+AO4+AQ4+AS4+AU4+AW4+AY4+BA4+BC4+BE4+BG4+BI4+BK4+BM4+BO4+BQ4+BS4+BU4+BW4+BY4+CA4+CC4+CE4+CG4+CI4+CK4+CM4+CO4+CQ4+CS4+CU4+CW4+CY4+DA4+DC4+DE4+DG4+DI4+DK4+DM4+DO4+DQ4+DS4+DU4+DW4+DY4+EA4+EC4</f>
        <v>2600.638</v>
      </c>
    </row>
    <row r="5" spans="1:135" ht="12.75">
      <c r="A5" s="184" t="s">
        <v>403</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v>22466.13</v>
      </c>
      <c r="BA5" s="61">
        <v>21407.067</v>
      </c>
      <c r="BB5" s="61">
        <v>29455.58</v>
      </c>
      <c r="BC5" s="61">
        <v>29320.059</v>
      </c>
      <c r="BD5" s="61"/>
      <c r="BE5" s="61"/>
      <c r="BF5" s="61">
        <v>910</v>
      </c>
      <c r="BG5" s="61">
        <v>910</v>
      </c>
      <c r="BH5" s="61"/>
      <c r="BI5" s="61"/>
      <c r="BJ5" s="61"/>
      <c r="BK5" s="61"/>
      <c r="BL5" s="61">
        <v>722.435</v>
      </c>
      <c r="BM5" s="61">
        <v>722.435</v>
      </c>
      <c r="BN5" s="61"/>
      <c r="BO5" s="61"/>
      <c r="BP5" s="61"/>
      <c r="BQ5" s="61"/>
      <c r="BR5" s="61"/>
      <c r="BS5" s="61"/>
      <c r="BT5" s="61"/>
      <c r="BU5" s="61"/>
      <c r="BV5" s="61"/>
      <c r="BW5" s="61"/>
      <c r="BX5" s="61"/>
      <c r="BY5" s="61"/>
      <c r="BZ5" s="61"/>
      <c r="CA5" s="61"/>
      <c r="CB5" s="61"/>
      <c r="CC5" s="61"/>
      <c r="CD5" s="61"/>
      <c r="CE5" s="61"/>
      <c r="CF5" s="61">
        <v>3357.1</v>
      </c>
      <c r="CG5" s="61">
        <v>3193.22</v>
      </c>
      <c r="CH5" s="61">
        <v>7721.6</v>
      </c>
      <c r="CI5" s="61">
        <v>7635.917</v>
      </c>
      <c r="CJ5" s="61"/>
      <c r="CK5" s="61"/>
      <c r="CL5" s="61"/>
      <c r="CM5" s="61"/>
      <c r="CN5" s="61"/>
      <c r="CO5" s="61"/>
      <c r="CP5" s="61"/>
      <c r="CQ5" s="61"/>
      <c r="CR5" s="61"/>
      <c r="CS5" s="61"/>
      <c r="CT5" s="61"/>
      <c r="CU5" s="61"/>
      <c r="CV5" s="61"/>
      <c r="CW5" s="61"/>
      <c r="CX5" s="61"/>
      <c r="CY5" s="61"/>
      <c r="CZ5" s="61"/>
      <c r="DA5" s="61"/>
      <c r="DB5" s="61">
        <v>60</v>
      </c>
      <c r="DC5" s="61">
        <v>60</v>
      </c>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307">
        <f t="shared" si="0"/>
        <v>64692.845</v>
      </c>
      <c r="EE5" s="307">
        <f t="shared" si="1"/>
        <v>63248.698000000004</v>
      </c>
    </row>
    <row r="6" spans="1:135" ht="12.75">
      <c r="A6" s="184" t="s">
        <v>471</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v>112</v>
      </c>
      <c r="CA6" s="61">
        <v>77.9</v>
      </c>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307">
        <f t="shared" si="0"/>
        <v>112</v>
      </c>
      <c r="EE6" s="307">
        <f t="shared" si="1"/>
        <v>77.9</v>
      </c>
    </row>
    <row r="7" spans="1:135" ht="12.75">
      <c r="A7" s="184" t="s">
        <v>404</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v>24</v>
      </c>
      <c r="AY7" s="61">
        <v>24</v>
      </c>
      <c r="AZ7" s="61">
        <v>6554.044</v>
      </c>
      <c r="BA7" s="61">
        <v>6396.27</v>
      </c>
      <c r="BB7" s="61">
        <v>14811.456</v>
      </c>
      <c r="BC7" s="61">
        <v>14768.314</v>
      </c>
      <c r="BD7" s="61"/>
      <c r="BE7" s="61"/>
      <c r="BF7" s="61"/>
      <c r="BG7" s="61"/>
      <c r="BH7" s="61"/>
      <c r="BI7" s="61"/>
      <c r="BJ7" s="61"/>
      <c r="BK7" s="61"/>
      <c r="BL7" s="61">
        <v>140.495</v>
      </c>
      <c r="BM7" s="61">
        <v>140.297</v>
      </c>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307">
        <f t="shared" si="0"/>
        <v>21529.995</v>
      </c>
      <c r="EE7" s="307">
        <f t="shared" si="1"/>
        <v>21328.881</v>
      </c>
    </row>
    <row r="8" spans="1:135" ht="12.75">
      <c r="A8" s="184" t="s">
        <v>483</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v>2415</v>
      </c>
      <c r="BK8" s="61">
        <v>2415</v>
      </c>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307">
        <f t="shared" si="0"/>
        <v>2415</v>
      </c>
      <c r="EE8" s="307">
        <f t="shared" si="1"/>
        <v>2415</v>
      </c>
    </row>
    <row r="9" spans="1:135" ht="12.75">
      <c r="A9" s="184" t="s">
        <v>405</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v>104.76</v>
      </c>
      <c r="BO9" s="61">
        <v>0</v>
      </c>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307">
        <f t="shared" si="0"/>
        <v>104.76</v>
      </c>
      <c r="EE9" s="307">
        <f t="shared" si="1"/>
        <v>0</v>
      </c>
    </row>
    <row r="10" spans="1:135" ht="12.75">
      <c r="A10" s="184" t="s">
        <v>406</v>
      </c>
      <c r="B10" s="61">
        <v>29772.821</v>
      </c>
      <c r="C10" s="61">
        <v>29372.821</v>
      </c>
      <c r="D10" s="61"/>
      <c r="E10" s="61"/>
      <c r="F10" s="61"/>
      <c r="G10" s="61"/>
      <c r="H10" s="61"/>
      <c r="I10" s="61"/>
      <c r="J10" s="61"/>
      <c r="K10" s="61"/>
      <c r="L10" s="61"/>
      <c r="M10" s="61"/>
      <c r="N10" s="61"/>
      <c r="O10" s="61"/>
      <c r="P10" s="61"/>
      <c r="Q10" s="61"/>
      <c r="R10" s="61"/>
      <c r="S10" s="61"/>
      <c r="T10" s="61"/>
      <c r="U10" s="61"/>
      <c r="V10" s="61"/>
      <c r="W10" s="61"/>
      <c r="X10" s="61"/>
      <c r="Y10" s="61"/>
      <c r="Z10" s="61"/>
      <c r="AA10" s="61"/>
      <c r="AB10" s="61">
        <v>2613.253</v>
      </c>
      <c r="AC10" s="61">
        <v>2612.437</v>
      </c>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v>11189.815</v>
      </c>
      <c r="BI10" s="61">
        <v>11166.033</v>
      </c>
      <c r="BJ10" s="61"/>
      <c r="BK10" s="61"/>
      <c r="BL10" s="61">
        <v>77.176</v>
      </c>
      <c r="BM10" s="61">
        <v>77.176</v>
      </c>
      <c r="BN10" s="61"/>
      <c r="BO10" s="61"/>
      <c r="BP10" s="61"/>
      <c r="BQ10" s="61"/>
      <c r="BR10" s="61"/>
      <c r="BS10" s="61"/>
      <c r="BT10" s="61">
        <v>1920.4</v>
      </c>
      <c r="BU10" s="61">
        <v>1920.4</v>
      </c>
      <c r="BV10" s="61">
        <v>147.181</v>
      </c>
      <c r="BW10" s="61">
        <v>138.181</v>
      </c>
      <c r="BX10" s="61">
        <v>172.428</v>
      </c>
      <c r="BY10" s="61">
        <v>172.428</v>
      </c>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f>75+8.9+199.98</f>
        <v>283.88</v>
      </c>
      <c r="DC10" s="61">
        <f>0+8.9+199.98</f>
        <v>208.88</v>
      </c>
      <c r="DD10" s="61"/>
      <c r="DE10" s="61"/>
      <c r="DF10" s="61"/>
      <c r="DG10" s="61"/>
      <c r="DH10" s="61"/>
      <c r="DI10" s="61"/>
      <c r="DJ10" s="61"/>
      <c r="DK10" s="61"/>
      <c r="DL10" s="61">
        <f>100+200</f>
        <v>300</v>
      </c>
      <c r="DM10" s="61">
        <f>100+200</f>
        <v>300</v>
      </c>
      <c r="DN10" s="61"/>
      <c r="DO10" s="61"/>
      <c r="DP10" s="61"/>
      <c r="DQ10" s="61"/>
      <c r="DR10" s="61"/>
      <c r="DS10" s="61"/>
      <c r="DT10" s="61"/>
      <c r="DU10" s="61"/>
      <c r="DV10" s="61"/>
      <c r="DW10" s="61"/>
      <c r="DX10" s="61"/>
      <c r="DY10" s="61"/>
      <c r="DZ10" s="61"/>
      <c r="EA10" s="61"/>
      <c r="EB10" s="61"/>
      <c r="EC10" s="61"/>
      <c r="ED10" s="307">
        <f t="shared" si="0"/>
        <v>46476.954</v>
      </c>
      <c r="EE10" s="307">
        <f t="shared" si="1"/>
        <v>45968.35599999999</v>
      </c>
    </row>
    <row r="11" spans="1:135" ht="12.75">
      <c r="A11" s="184" t="s">
        <v>429</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v>1201.1</v>
      </c>
      <c r="CY11" s="61">
        <v>1201.1</v>
      </c>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307">
        <f t="shared" si="0"/>
        <v>1201.1</v>
      </c>
      <c r="EE11" s="307">
        <f t="shared" si="1"/>
        <v>1201.1</v>
      </c>
    </row>
    <row r="12" spans="1:135" ht="12.75">
      <c r="A12" s="184" t="s">
        <v>409</v>
      </c>
      <c r="B12" s="61"/>
      <c r="C12" s="61"/>
      <c r="D12" s="61"/>
      <c r="E12" s="61"/>
      <c r="F12" s="61"/>
      <c r="G12" s="61"/>
      <c r="H12" s="61"/>
      <c r="I12" s="61"/>
      <c r="J12" s="61"/>
      <c r="K12" s="61"/>
      <c r="L12" s="61">
        <v>163.292</v>
      </c>
      <c r="M12" s="61">
        <v>163.292</v>
      </c>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v>4327</v>
      </c>
      <c r="DO12" s="61">
        <v>4201.088</v>
      </c>
      <c r="DP12" s="61"/>
      <c r="DQ12" s="61"/>
      <c r="DR12" s="61"/>
      <c r="DS12" s="61"/>
      <c r="DT12" s="61"/>
      <c r="DU12" s="61"/>
      <c r="DV12" s="61"/>
      <c r="DW12" s="61"/>
      <c r="DX12" s="61"/>
      <c r="DY12" s="61"/>
      <c r="DZ12" s="61"/>
      <c r="EA12" s="61"/>
      <c r="EB12" s="61"/>
      <c r="EC12" s="61"/>
      <c r="ED12" s="307">
        <f t="shared" si="0"/>
        <v>4490.292</v>
      </c>
      <c r="EE12" s="307">
        <f t="shared" si="1"/>
        <v>4364.38</v>
      </c>
    </row>
    <row r="13" spans="1:135" ht="12.75">
      <c r="A13" s="184" t="s">
        <v>430</v>
      </c>
      <c r="B13" s="61"/>
      <c r="C13" s="61"/>
      <c r="D13" s="61"/>
      <c r="E13" s="61"/>
      <c r="F13" s="61"/>
      <c r="G13" s="61"/>
      <c r="H13" s="61"/>
      <c r="I13" s="61"/>
      <c r="J13" s="61"/>
      <c r="K13" s="61"/>
      <c r="L13" s="61">
        <v>1497.4</v>
      </c>
      <c r="M13" s="61">
        <v>1497.4</v>
      </c>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307">
        <f t="shared" si="0"/>
        <v>1497.4</v>
      </c>
      <c r="EE13" s="307">
        <f t="shared" si="1"/>
        <v>1497.4</v>
      </c>
    </row>
    <row r="14" spans="1:135" ht="12.75">
      <c r="A14" s="184" t="s">
        <v>432</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v>48.768</v>
      </c>
      <c r="CG14" s="61">
        <v>48.768</v>
      </c>
      <c r="CH14" s="61">
        <v>154.532</v>
      </c>
      <c r="CI14" s="61">
        <v>154.532</v>
      </c>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307">
        <f t="shared" si="0"/>
        <v>203.3</v>
      </c>
      <c r="EE14" s="307">
        <f t="shared" si="1"/>
        <v>203.3</v>
      </c>
    </row>
    <row r="15" spans="1:135" ht="12.75">
      <c r="A15" s="184" t="s">
        <v>411</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v>327.652</v>
      </c>
      <c r="AI15" s="61">
        <v>282.842</v>
      </c>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v>227.718</v>
      </c>
      <c r="CE15" s="61">
        <v>227.718</v>
      </c>
      <c r="CF15" s="61">
        <v>565.844</v>
      </c>
      <c r="CG15" s="61">
        <v>565.461</v>
      </c>
      <c r="CH15" s="61">
        <v>1327.656</v>
      </c>
      <c r="CI15" s="61">
        <v>1326.385</v>
      </c>
      <c r="CJ15" s="61">
        <v>5839.265</v>
      </c>
      <c r="CK15" s="61">
        <v>5839.265</v>
      </c>
      <c r="CL15" s="61"/>
      <c r="CM15" s="61"/>
      <c r="CN15" s="61"/>
      <c r="CO15" s="61"/>
      <c r="CP15" s="61">
        <v>636.2</v>
      </c>
      <c r="CQ15" s="61">
        <v>635.95</v>
      </c>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v>40</v>
      </c>
      <c r="DY15" s="61">
        <v>40</v>
      </c>
      <c r="DZ15" s="61"/>
      <c r="EA15" s="61"/>
      <c r="EB15" s="61"/>
      <c r="EC15" s="61"/>
      <c r="ED15" s="307">
        <f t="shared" si="0"/>
        <v>8964.335000000001</v>
      </c>
      <c r="EE15" s="307">
        <f t="shared" si="1"/>
        <v>8917.621000000001</v>
      </c>
    </row>
    <row r="16" spans="1:135" ht="12.75">
      <c r="A16" s="184" t="s">
        <v>412</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v>524.268</v>
      </c>
      <c r="AG16" s="61">
        <v>524.268</v>
      </c>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307">
        <f t="shared" si="0"/>
        <v>524.268</v>
      </c>
      <c r="EE16" s="307">
        <f t="shared" si="1"/>
        <v>524.268</v>
      </c>
    </row>
    <row r="17" spans="1:135" ht="12.75">
      <c r="A17" s="184" t="s">
        <v>413</v>
      </c>
      <c r="B17" s="61"/>
      <c r="C17" s="61"/>
      <c r="D17" s="61"/>
      <c r="E17" s="61"/>
      <c r="F17" s="61"/>
      <c r="G17" s="61"/>
      <c r="H17" s="61">
        <v>3168.034</v>
      </c>
      <c r="I17" s="61">
        <v>3168.034</v>
      </c>
      <c r="J17" s="61">
        <v>4007</v>
      </c>
      <c r="K17" s="61">
        <v>4007</v>
      </c>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v>17384</v>
      </c>
      <c r="DK17" s="61">
        <v>17384</v>
      </c>
      <c r="DL17" s="61"/>
      <c r="DM17" s="61"/>
      <c r="DN17" s="61"/>
      <c r="DO17" s="61"/>
      <c r="DP17" s="61"/>
      <c r="DQ17" s="61"/>
      <c r="DR17" s="61"/>
      <c r="DS17" s="61"/>
      <c r="DT17" s="61"/>
      <c r="DU17" s="61"/>
      <c r="DV17" s="61"/>
      <c r="DW17" s="61"/>
      <c r="DX17" s="61"/>
      <c r="DY17" s="61"/>
      <c r="DZ17" s="61"/>
      <c r="EA17" s="61"/>
      <c r="EB17" s="61"/>
      <c r="EC17" s="61"/>
      <c r="ED17" s="307">
        <f t="shared" si="0"/>
        <v>24559.034</v>
      </c>
      <c r="EE17" s="307">
        <f t="shared" si="1"/>
        <v>24559.034</v>
      </c>
    </row>
    <row r="18" spans="1:135" ht="12.75">
      <c r="A18" s="184" t="s">
        <v>414</v>
      </c>
      <c r="B18" s="61"/>
      <c r="C18" s="61"/>
      <c r="D18" s="61"/>
      <c r="E18" s="61"/>
      <c r="F18" s="61">
        <v>2926.306</v>
      </c>
      <c r="G18" s="61">
        <v>2914.196</v>
      </c>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v>60641.203</v>
      </c>
      <c r="DG18" s="61">
        <v>60174.763</v>
      </c>
      <c r="DH18" s="61"/>
      <c r="DI18" s="61"/>
      <c r="DJ18" s="61"/>
      <c r="DK18" s="61"/>
      <c r="DL18" s="61"/>
      <c r="DM18" s="61"/>
      <c r="DN18" s="61"/>
      <c r="DO18" s="61"/>
      <c r="DP18" s="61"/>
      <c r="DQ18" s="61"/>
      <c r="DR18" s="61"/>
      <c r="DS18" s="61"/>
      <c r="DT18" s="61"/>
      <c r="DU18" s="61"/>
      <c r="DV18" s="61"/>
      <c r="DW18" s="61"/>
      <c r="DX18" s="61"/>
      <c r="DY18" s="61"/>
      <c r="DZ18" s="61"/>
      <c r="EA18" s="61"/>
      <c r="EB18" s="61"/>
      <c r="EC18" s="61"/>
      <c r="ED18" s="307">
        <f t="shared" si="0"/>
        <v>63567.509</v>
      </c>
      <c r="EE18" s="307">
        <f t="shared" si="1"/>
        <v>63088.959</v>
      </c>
    </row>
    <row r="19" spans="1:135" ht="12.75">
      <c r="A19" s="184" t="s">
        <v>1039</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v>1467.1</v>
      </c>
      <c r="DQ19" s="61">
        <v>1467.058</v>
      </c>
      <c r="DR19" s="61"/>
      <c r="DS19" s="61"/>
      <c r="DT19" s="61"/>
      <c r="DU19" s="61"/>
      <c r="DV19" s="61"/>
      <c r="DW19" s="61"/>
      <c r="DX19" s="61"/>
      <c r="DY19" s="61"/>
      <c r="DZ19" s="61"/>
      <c r="EA19" s="61"/>
      <c r="EB19" s="61"/>
      <c r="EC19" s="61"/>
      <c r="ED19" s="307">
        <f t="shared" si="0"/>
        <v>1467.1</v>
      </c>
      <c r="EE19" s="307">
        <f t="shared" si="1"/>
        <v>1467.058</v>
      </c>
    </row>
    <row r="20" spans="1:135" ht="12.75">
      <c r="A20" s="184" t="s">
        <v>416</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v>1915.832</v>
      </c>
      <c r="AK20" s="61">
        <v>1270.592</v>
      </c>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v>643.5</v>
      </c>
      <c r="BQ20" s="61">
        <v>642.381</v>
      </c>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307">
        <f t="shared" si="0"/>
        <v>2559.3320000000003</v>
      </c>
      <c r="EE20" s="307">
        <f t="shared" si="1"/>
        <v>1912.973</v>
      </c>
    </row>
    <row r="21" spans="1:135" ht="12.75">
      <c r="A21" s="184" t="s">
        <v>431</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v>238.709</v>
      </c>
      <c r="DI21" s="61">
        <v>238.709</v>
      </c>
      <c r="DJ21" s="61"/>
      <c r="DK21" s="61"/>
      <c r="DL21" s="61"/>
      <c r="DM21" s="61"/>
      <c r="DN21" s="61"/>
      <c r="DO21" s="61"/>
      <c r="DP21" s="61"/>
      <c r="DQ21" s="61"/>
      <c r="DR21" s="61"/>
      <c r="DS21" s="61"/>
      <c r="DT21" s="61"/>
      <c r="DU21" s="61"/>
      <c r="DV21" s="61"/>
      <c r="DW21" s="61"/>
      <c r="DX21" s="61"/>
      <c r="DY21" s="61"/>
      <c r="DZ21" s="61"/>
      <c r="EA21" s="61"/>
      <c r="EB21" s="61"/>
      <c r="EC21" s="61"/>
      <c r="ED21" s="307">
        <f t="shared" si="0"/>
        <v>238.709</v>
      </c>
      <c r="EE21" s="307">
        <f t="shared" si="1"/>
        <v>238.709</v>
      </c>
    </row>
    <row r="22" spans="1:135" ht="12.75">
      <c r="A22" s="184" t="s">
        <v>417</v>
      </c>
      <c r="B22" s="61"/>
      <c r="C22" s="61"/>
      <c r="D22" s="61">
        <v>839.574</v>
      </c>
      <c r="E22" s="61">
        <v>0</v>
      </c>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v>150281.482</v>
      </c>
      <c r="DE22" s="61">
        <v>78534.154</v>
      </c>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307">
        <f t="shared" si="0"/>
        <v>151121.05599999998</v>
      </c>
      <c r="EE22" s="307">
        <f t="shared" si="1"/>
        <v>78534.154</v>
      </c>
    </row>
    <row r="23" spans="1:135" ht="12.75">
      <c r="A23" s="184" t="s">
        <v>418</v>
      </c>
      <c r="B23" s="61"/>
      <c r="C23" s="61"/>
      <c r="D23" s="61"/>
      <c r="E23" s="61"/>
      <c r="F23" s="61"/>
      <c r="G23" s="61"/>
      <c r="H23" s="61"/>
      <c r="I23" s="61"/>
      <c r="J23" s="61"/>
      <c r="K23" s="61"/>
      <c r="L23" s="61"/>
      <c r="M23" s="61"/>
      <c r="N23" s="61"/>
      <c r="O23" s="61"/>
      <c r="P23" s="61"/>
      <c r="Q23" s="61"/>
      <c r="R23" s="61"/>
      <c r="S23" s="61"/>
      <c r="T23" s="61"/>
      <c r="U23" s="61"/>
      <c r="V23" s="61"/>
      <c r="W23" s="61"/>
      <c r="X23" s="61"/>
      <c r="Y23" s="61"/>
      <c r="Z23" s="61">
        <v>1149.024</v>
      </c>
      <c r="AA23" s="61">
        <v>1143.419</v>
      </c>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v>13438.896</v>
      </c>
      <c r="DW23" s="61">
        <v>12934.28</v>
      </c>
      <c r="DX23" s="61"/>
      <c r="DY23" s="61"/>
      <c r="DZ23" s="61"/>
      <c r="EA23" s="61"/>
      <c r="EB23" s="61"/>
      <c r="EC23" s="61"/>
      <c r="ED23" s="307">
        <f t="shared" si="0"/>
        <v>14587.92</v>
      </c>
      <c r="EE23" s="307">
        <f t="shared" si="1"/>
        <v>14077.699</v>
      </c>
    </row>
    <row r="24" spans="1:135" ht="12.75" hidden="1">
      <c r="A24" s="184" t="s">
        <v>547</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307">
        <f t="shared" si="0"/>
        <v>0</v>
      </c>
      <c r="EE24" s="307">
        <f t="shared" si="1"/>
        <v>0</v>
      </c>
    </row>
    <row r="25" spans="1:135" ht="12.75">
      <c r="A25" s="184" t="s">
        <v>419</v>
      </c>
      <c r="B25" s="61"/>
      <c r="C25" s="61"/>
      <c r="D25" s="61"/>
      <c r="E25" s="61"/>
      <c r="F25" s="61"/>
      <c r="G25" s="61"/>
      <c r="H25" s="61"/>
      <c r="I25" s="61"/>
      <c r="J25" s="61"/>
      <c r="K25" s="61"/>
      <c r="L25" s="61"/>
      <c r="M25" s="61"/>
      <c r="N25" s="61">
        <v>100376.693</v>
      </c>
      <c r="O25" s="61">
        <v>100329.543</v>
      </c>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v>1298.332</v>
      </c>
      <c r="BM25" s="61">
        <v>1192.974</v>
      </c>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v>106.764</v>
      </c>
      <c r="CM25" s="61">
        <v>105.095</v>
      </c>
      <c r="CN25" s="61"/>
      <c r="CO25" s="61"/>
      <c r="CP25" s="61"/>
      <c r="CQ25" s="61"/>
      <c r="CR25" s="61">
        <v>1382.76</v>
      </c>
      <c r="CS25" s="61">
        <v>449.3</v>
      </c>
      <c r="CT25" s="61">
        <f>434.5+107203.5</f>
        <v>107638</v>
      </c>
      <c r="CU25" s="61">
        <f>434.5+107203.5</f>
        <v>107638</v>
      </c>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307">
        <f t="shared" si="0"/>
        <v>210802.549</v>
      </c>
      <c r="EE25" s="307">
        <f t="shared" si="1"/>
        <v>209714.912</v>
      </c>
    </row>
    <row r="26" spans="1:135" ht="12.75">
      <c r="A26" s="184" t="s">
        <v>420</v>
      </c>
      <c r="B26" s="61"/>
      <c r="C26" s="61"/>
      <c r="D26" s="61"/>
      <c r="E26" s="61"/>
      <c r="F26" s="61"/>
      <c r="G26" s="61"/>
      <c r="H26" s="61"/>
      <c r="I26" s="61"/>
      <c r="J26" s="61"/>
      <c r="K26" s="61"/>
      <c r="L26" s="61"/>
      <c r="M26" s="61"/>
      <c r="N26" s="61">
        <v>28431.358</v>
      </c>
      <c r="O26" s="61">
        <v>28325.787</v>
      </c>
      <c r="P26" s="61">
        <v>49272.505</v>
      </c>
      <c r="Q26" s="61">
        <v>48742.633</v>
      </c>
      <c r="R26" s="61">
        <v>50040.903</v>
      </c>
      <c r="S26" s="61">
        <v>49389.777</v>
      </c>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v>3583.986</v>
      </c>
      <c r="BM26" s="61">
        <v>3481.799</v>
      </c>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v>809.908</v>
      </c>
      <c r="CM26" s="61">
        <v>792.142</v>
      </c>
      <c r="CN26" s="61">
        <v>770.73</v>
      </c>
      <c r="CO26" s="61">
        <v>767.456</v>
      </c>
      <c r="CP26" s="61"/>
      <c r="CQ26" s="61"/>
      <c r="CR26" s="61">
        <v>13992.74</v>
      </c>
      <c r="CS26" s="61">
        <v>11125.265</v>
      </c>
      <c r="CT26" s="61">
        <f>441386.053+39540.4+1.047</f>
        <v>480927.50000000006</v>
      </c>
      <c r="CU26" s="61">
        <f>441377.171+39540.385+1.047</f>
        <v>480918.603</v>
      </c>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307">
        <f t="shared" si="0"/>
        <v>627829.6300000001</v>
      </c>
      <c r="EE26" s="307">
        <f t="shared" si="1"/>
        <v>623543.462</v>
      </c>
    </row>
    <row r="27" spans="1:135" ht="12.75">
      <c r="A27" s="184" t="s">
        <v>484</v>
      </c>
      <c r="B27" s="61"/>
      <c r="C27" s="61"/>
      <c r="D27" s="61"/>
      <c r="E27" s="61"/>
      <c r="F27" s="61"/>
      <c r="G27" s="61"/>
      <c r="H27" s="61"/>
      <c r="I27" s="61"/>
      <c r="J27" s="61"/>
      <c r="K27" s="61"/>
      <c r="L27" s="61"/>
      <c r="M27" s="61"/>
      <c r="N27" s="61"/>
      <c r="O27" s="61"/>
      <c r="P27" s="61"/>
      <c r="Q27" s="61"/>
      <c r="R27" s="61"/>
      <c r="S27" s="61"/>
      <c r="T27" s="61">
        <v>78980.174</v>
      </c>
      <c r="U27" s="61">
        <v>78980.169</v>
      </c>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v>718.697</v>
      </c>
      <c r="BM27" s="61">
        <v>718.122</v>
      </c>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v>83.328</v>
      </c>
      <c r="CM27" s="61">
        <v>83.328</v>
      </c>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307">
        <f t="shared" si="0"/>
        <v>79782.199</v>
      </c>
      <c r="EE27" s="307">
        <f t="shared" si="1"/>
        <v>79781.61899999999</v>
      </c>
    </row>
    <row r="28" spans="1:135" ht="12.75">
      <c r="A28" s="184" t="s">
        <v>421</v>
      </c>
      <c r="B28" s="61"/>
      <c r="C28" s="61"/>
      <c r="D28" s="61"/>
      <c r="E28" s="61"/>
      <c r="F28" s="61"/>
      <c r="G28" s="61"/>
      <c r="H28" s="61"/>
      <c r="I28" s="61"/>
      <c r="J28" s="61"/>
      <c r="K28" s="61"/>
      <c r="L28" s="61"/>
      <c r="M28" s="61"/>
      <c r="N28" s="61"/>
      <c r="O28" s="61"/>
      <c r="P28" s="61"/>
      <c r="Q28" s="61"/>
      <c r="R28" s="61"/>
      <c r="S28" s="61"/>
      <c r="T28" s="61"/>
      <c r="U28" s="61"/>
      <c r="V28" s="61">
        <v>6958.755</v>
      </c>
      <c r="W28" s="61">
        <v>6912.481</v>
      </c>
      <c r="X28" s="61"/>
      <c r="Y28" s="61"/>
      <c r="Z28" s="61"/>
      <c r="AA28" s="61"/>
      <c r="AB28" s="61"/>
      <c r="AC28" s="61"/>
      <c r="AD28" s="61"/>
      <c r="AE28" s="61"/>
      <c r="AF28" s="61"/>
      <c r="AG28" s="61"/>
      <c r="AH28" s="61"/>
      <c r="AI28" s="61"/>
      <c r="AJ28" s="61"/>
      <c r="AK28" s="61"/>
      <c r="AL28" s="61"/>
      <c r="AM28" s="61"/>
      <c r="AN28" s="61"/>
      <c r="AO28" s="61"/>
      <c r="AP28" s="61">
        <v>243</v>
      </c>
      <c r="AQ28" s="61">
        <v>243</v>
      </c>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307">
        <f t="shared" si="0"/>
        <v>7201.755</v>
      </c>
      <c r="EE28" s="307">
        <f t="shared" si="1"/>
        <v>7155.481</v>
      </c>
    </row>
    <row r="29" spans="1:135" ht="12.75">
      <c r="A29" s="184" t="s">
        <v>422</v>
      </c>
      <c r="B29" s="61"/>
      <c r="C29" s="61"/>
      <c r="D29" s="61"/>
      <c r="E29" s="61"/>
      <c r="F29" s="61"/>
      <c r="G29" s="61"/>
      <c r="H29" s="61"/>
      <c r="I29" s="61"/>
      <c r="J29" s="61"/>
      <c r="K29" s="61"/>
      <c r="L29" s="61"/>
      <c r="M29" s="61"/>
      <c r="N29" s="61"/>
      <c r="O29" s="61"/>
      <c r="P29" s="61"/>
      <c r="Q29" s="61"/>
      <c r="R29" s="61"/>
      <c r="S29" s="61"/>
      <c r="T29" s="61"/>
      <c r="U29" s="61"/>
      <c r="V29" s="61"/>
      <c r="W29" s="61"/>
      <c r="X29" s="61">
        <v>319.4</v>
      </c>
      <c r="Y29" s="61">
        <v>319.4</v>
      </c>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v>5398.372</v>
      </c>
      <c r="BA29" s="61">
        <v>5364.528</v>
      </c>
      <c r="BB29" s="61">
        <v>11851.16</v>
      </c>
      <c r="BC29" s="61">
        <v>11846.682</v>
      </c>
      <c r="BD29" s="61"/>
      <c r="BE29" s="61"/>
      <c r="BF29" s="61"/>
      <c r="BG29" s="61"/>
      <c r="BH29" s="61"/>
      <c r="BI29" s="61"/>
      <c r="BJ29" s="61"/>
      <c r="BK29" s="61"/>
      <c r="BL29" s="61">
        <v>137.472</v>
      </c>
      <c r="BM29" s="61">
        <v>137.472</v>
      </c>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307">
        <f t="shared" si="0"/>
        <v>17706.404000000002</v>
      </c>
      <c r="EE29" s="307">
        <f t="shared" si="1"/>
        <v>17668.082000000002</v>
      </c>
    </row>
    <row r="30" spans="1:135" s="185" customFormat="1" ht="12.75">
      <c r="A30" s="184" t="s">
        <v>423</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v>1387.3</v>
      </c>
      <c r="AC30" s="61">
        <v>1387.3</v>
      </c>
      <c r="AD30" s="61">
        <v>57434.936</v>
      </c>
      <c r="AE30" s="61">
        <v>57207.801</v>
      </c>
      <c r="AF30" s="61"/>
      <c r="AG30" s="61"/>
      <c r="AH30" s="61"/>
      <c r="AI30" s="61"/>
      <c r="AJ30" s="61"/>
      <c r="AK30" s="61"/>
      <c r="AL30" s="61"/>
      <c r="AM30" s="61"/>
      <c r="AN30" s="61"/>
      <c r="AO30" s="61"/>
      <c r="AP30" s="61"/>
      <c r="AQ30" s="61"/>
      <c r="AR30" s="61">
        <v>38866.555</v>
      </c>
      <c r="AS30" s="61">
        <v>38411.455</v>
      </c>
      <c r="AT30" s="61">
        <v>15220.2</v>
      </c>
      <c r="AU30" s="61">
        <v>15220.2</v>
      </c>
      <c r="AV30" s="61">
        <v>45317.8</v>
      </c>
      <c r="AW30" s="61">
        <v>45317.8</v>
      </c>
      <c r="AX30" s="61"/>
      <c r="AY30" s="61"/>
      <c r="AZ30" s="61"/>
      <c r="BA30" s="61"/>
      <c r="BB30" s="61"/>
      <c r="BC30" s="61"/>
      <c r="BD30" s="61"/>
      <c r="BE30" s="61"/>
      <c r="BF30" s="61"/>
      <c r="BG30" s="61"/>
      <c r="BH30" s="61"/>
      <c r="BI30" s="61"/>
      <c r="BJ30" s="61"/>
      <c r="BK30" s="61"/>
      <c r="BL30" s="61">
        <v>712.856</v>
      </c>
      <c r="BM30" s="61">
        <v>712.856</v>
      </c>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307">
        <f t="shared" si="0"/>
        <v>158939.647</v>
      </c>
      <c r="EE30" s="307">
        <f t="shared" si="1"/>
        <v>158257.412</v>
      </c>
    </row>
    <row r="31" spans="1:135" ht="12.75">
      <c r="A31" s="184" t="s">
        <v>424</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v>3840.122</v>
      </c>
      <c r="BA31" s="61">
        <v>3807.557</v>
      </c>
      <c r="BB31" s="61">
        <v>6491.558</v>
      </c>
      <c r="BC31" s="61">
        <v>6491.558</v>
      </c>
      <c r="BD31" s="61"/>
      <c r="BE31" s="61"/>
      <c r="BF31" s="61"/>
      <c r="BG31" s="61"/>
      <c r="BH31" s="61"/>
      <c r="BI31" s="61"/>
      <c r="BJ31" s="61"/>
      <c r="BK31" s="61"/>
      <c r="BL31" s="61">
        <v>99.887</v>
      </c>
      <c r="BM31" s="61">
        <v>99.887</v>
      </c>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307">
        <f t="shared" si="0"/>
        <v>10431.567000000001</v>
      </c>
      <c r="EE31" s="307">
        <f t="shared" si="1"/>
        <v>10399.002</v>
      </c>
    </row>
    <row r="32" spans="1:135" ht="12.75">
      <c r="A32" s="184" t="s">
        <v>425</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v>4880.042</v>
      </c>
      <c r="BS32" s="61">
        <v>4880.042</v>
      </c>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307">
        <f t="shared" si="0"/>
        <v>4880.042</v>
      </c>
      <c r="EE32" s="307">
        <f t="shared" si="1"/>
        <v>4880.042</v>
      </c>
    </row>
    <row r="33" spans="1:135" ht="12.75">
      <c r="A33" s="184" t="s">
        <v>407</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v>1096.8</v>
      </c>
      <c r="CC33" s="61">
        <v>995.903</v>
      </c>
      <c r="CD33" s="61"/>
      <c r="CE33" s="61"/>
      <c r="CF33" s="61"/>
      <c r="CG33" s="61"/>
      <c r="CH33" s="61"/>
      <c r="CI33" s="61"/>
      <c r="CJ33" s="61"/>
      <c r="CK33" s="61"/>
      <c r="CL33" s="61"/>
      <c r="CM33" s="61"/>
      <c r="CN33" s="61">
        <f>24647.9+12636</f>
        <v>37283.9</v>
      </c>
      <c r="CO33" s="61">
        <f>24343.694+12139.244</f>
        <v>36482.938</v>
      </c>
      <c r="CP33" s="61"/>
      <c r="CQ33" s="61"/>
      <c r="CR33" s="61"/>
      <c r="CS33" s="61"/>
      <c r="CT33" s="61"/>
      <c r="CU33" s="61"/>
      <c r="CV33" s="61"/>
      <c r="CW33" s="61"/>
      <c r="CX33" s="61"/>
      <c r="CY33" s="61"/>
      <c r="CZ33" s="61">
        <f>5471.146+406.054+1982.5</f>
        <v>7859.7</v>
      </c>
      <c r="DA33" s="61">
        <f>5471.146+406.054+1982.5</f>
        <v>7859.7</v>
      </c>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f>860.608+350</f>
        <v>1210.608</v>
      </c>
      <c r="EC33" s="61">
        <f>0+350</f>
        <v>350</v>
      </c>
      <c r="ED33" s="307">
        <f t="shared" si="0"/>
        <v>47451.008</v>
      </c>
      <c r="EE33" s="307">
        <f t="shared" si="1"/>
        <v>45688.541</v>
      </c>
    </row>
    <row r="34" spans="1:135" ht="12.75">
      <c r="A34" s="184" t="s">
        <v>415</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v>8.389</v>
      </c>
      <c r="CG34" s="61">
        <v>5.613</v>
      </c>
      <c r="CH34" s="61">
        <v>19.411</v>
      </c>
      <c r="CI34" s="61">
        <v>12.987</v>
      </c>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307">
        <f t="shared" si="0"/>
        <v>27.8</v>
      </c>
      <c r="EE34" s="307">
        <f t="shared" si="1"/>
        <v>18.6</v>
      </c>
    </row>
    <row r="35" spans="1:135" ht="12.75">
      <c r="A35" s="184" t="s">
        <v>400</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v>1931.44</v>
      </c>
      <c r="AM35" s="61">
        <v>1931.44</v>
      </c>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v>5658.9</v>
      </c>
      <c r="DS35" s="61">
        <v>5658.9</v>
      </c>
      <c r="DT35" s="61"/>
      <c r="DU35" s="61"/>
      <c r="DV35" s="61"/>
      <c r="DW35" s="61"/>
      <c r="DX35" s="61"/>
      <c r="DY35" s="61"/>
      <c r="DZ35" s="61"/>
      <c r="EA35" s="61"/>
      <c r="EB35" s="61"/>
      <c r="EC35" s="61"/>
      <c r="ED35" s="307">
        <f t="shared" si="0"/>
        <v>7590.34</v>
      </c>
      <c r="EE35" s="307">
        <f t="shared" si="1"/>
        <v>7590.34</v>
      </c>
    </row>
    <row r="36" spans="1:135" ht="12.75">
      <c r="A36" s="184" t="s">
        <v>426</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v>21397.089</v>
      </c>
      <c r="AO36" s="61">
        <v>21397.052</v>
      </c>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v>817.36</v>
      </c>
      <c r="DU36" s="61">
        <v>817.36</v>
      </c>
      <c r="DV36" s="61"/>
      <c r="DW36" s="61"/>
      <c r="DX36" s="61"/>
      <c r="DY36" s="61"/>
      <c r="DZ36" s="61"/>
      <c r="EA36" s="61"/>
      <c r="EB36" s="61"/>
      <c r="EC36" s="61"/>
      <c r="ED36" s="307">
        <f t="shared" si="0"/>
        <v>22214.449</v>
      </c>
      <c r="EE36" s="307">
        <f t="shared" si="1"/>
        <v>22214.412</v>
      </c>
    </row>
    <row r="37" spans="1:135" ht="12.75" customHeight="1">
      <c r="A37" s="184" t="s">
        <v>47</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v>105.26</v>
      </c>
      <c r="AM37" s="61">
        <v>105.26</v>
      </c>
      <c r="AN37" s="61">
        <v>154.6</v>
      </c>
      <c r="AO37" s="61">
        <v>154.6</v>
      </c>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307">
        <f t="shared" si="0"/>
        <v>259.86</v>
      </c>
      <c r="EE37" s="307">
        <f t="shared" si="1"/>
        <v>259.86</v>
      </c>
    </row>
    <row r="38" spans="1:135" ht="12.75">
      <c r="A38" s="184" t="s">
        <v>427</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v>514.374</v>
      </c>
      <c r="BE38" s="61">
        <v>514.374</v>
      </c>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307">
        <f t="shared" si="0"/>
        <v>514.374</v>
      </c>
      <c r="EE38" s="307">
        <f t="shared" si="1"/>
        <v>514.374</v>
      </c>
    </row>
    <row r="39" spans="1:135" ht="12.75">
      <c r="A39" s="184" t="s">
        <v>50</v>
      </c>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v>56343.4</v>
      </c>
      <c r="CW39" s="61">
        <v>56343.4</v>
      </c>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307">
        <f t="shared" si="0"/>
        <v>56343.4</v>
      </c>
      <c r="EE39" s="307">
        <f t="shared" si="1"/>
        <v>56343.4</v>
      </c>
    </row>
    <row r="40" spans="1:135" ht="12.75">
      <c r="A40" s="184" t="s">
        <v>51</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v>63717.5</v>
      </c>
      <c r="EA40" s="61">
        <v>63717.5</v>
      </c>
      <c r="EB40" s="61"/>
      <c r="EC40" s="61"/>
      <c r="ED40" s="307">
        <f t="shared" si="0"/>
        <v>63717.5</v>
      </c>
      <c r="EE40" s="307">
        <f t="shared" si="1"/>
        <v>63717.5</v>
      </c>
    </row>
    <row r="41" spans="1:135" s="185" customFormat="1" ht="12.75">
      <c r="A41" s="184" t="s">
        <v>428</v>
      </c>
      <c r="B41" s="61">
        <f>SUM(B3:B40)</f>
        <v>29772.821</v>
      </c>
      <c r="C41" s="61">
        <f aca="true" t="shared" si="2" ref="C41:BJ41">SUM(C3:C40)</f>
        <v>29372.821</v>
      </c>
      <c r="D41" s="61">
        <f t="shared" si="2"/>
        <v>839.574</v>
      </c>
      <c r="E41" s="61">
        <f t="shared" si="2"/>
        <v>0</v>
      </c>
      <c r="F41" s="61">
        <f t="shared" si="2"/>
        <v>2926.306</v>
      </c>
      <c r="G41" s="61">
        <f t="shared" si="2"/>
        <v>2914.196</v>
      </c>
      <c r="H41" s="61">
        <f t="shared" si="2"/>
        <v>3168.034</v>
      </c>
      <c r="I41" s="61">
        <f t="shared" si="2"/>
        <v>3168.034</v>
      </c>
      <c r="J41" s="61">
        <f t="shared" si="2"/>
        <v>4007</v>
      </c>
      <c r="K41" s="61">
        <f t="shared" si="2"/>
        <v>4007</v>
      </c>
      <c r="L41" s="61">
        <f t="shared" si="2"/>
        <v>1660.692</v>
      </c>
      <c r="M41" s="61">
        <f t="shared" si="2"/>
        <v>1660.692</v>
      </c>
      <c r="N41" s="61">
        <f t="shared" si="2"/>
        <v>128808.051</v>
      </c>
      <c r="O41" s="61">
        <f t="shared" si="2"/>
        <v>128655.33</v>
      </c>
      <c r="P41" s="61">
        <f t="shared" si="2"/>
        <v>49272.505</v>
      </c>
      <c r="Q41" s="61">
        <f t="shared" si="2"/>
        <v>48742.633</v>
      </c>
      <c r="R41" s="61">
        <f t="shared" si="2"/>
        <v>50040.903</v>
      </c>
      <c r="S41" s="61">
        <f t="shared" si="2"/>
        <v>49389.777</v>
      </c>
      <c r="T41" s="61">
        <f t="shared" si="2"/>
        <v>78980.174</v>
      </c>
      <c r="U41" s="61">
        <f t="shared" si="2"/>
        <v>78980.169</v>
      </c>
      <c r="V41" s="61">
        <f t="shared" si="2"/>
        <v>6958.755</v>
      </c>
      <c r="W41" s="61">
        <f t="shared" si="2"/>
        <v>6912.481</v>
      </c>
      <c r="X41" s="61">
        <f t="shared" si="2"/>
        <v>319.4</v>
      </c>
      <c r="Y41" s="61">
        <f t="shared" si="2"/>
        <v>319.4</v>
      </c>
      <c r="Z41" s="61">
        <f t="shared" si="2"/>
        <v>1149.024</v>
      </c>
      <c r="AA41" s="61">
        <f t="shared" si="2"/>
        <v>1143.419</v>
      </c>
      <c r="AB41" s="61">
        <f t="shared" si="2"/>
        <v>4000.553</v>
      </c>
      <c r="AC41" s="61">
        <f t="shared" si="2"/>
        <v>3999.737</v>
      </c>
      <c r="AD41" s="61">
        <f t="shared" si="2"/>
        <v>57434.936</v>
      </c>
      <c r="AE41" s="61">
        <f t="shared" si="2"/>
        <v>57207.801</v>
      </c>
      <c r="AF41" s="61">
        <f t="shared" si="2"/>
        <v>524.268</v>
      </c>
      <c r="AG41" s="61">
        <f t="shared" si="2"/>
        <v>524.268</v>
      </c>
      <c r="AH41" s="61">
        <f t="shared" si="2"/>
        <v>327.652</v>
      </c>
      <c r="AI41" s="61">
        <f t="shared" si="2"/>
        <v>282.842</v>
      </c>
      <c r="AJ41" s="61">
        <f t="shared" si="2"/>
        <v>1915.832</v>
      </c>
      <c r="AK41" s="61">
        <f t="shared" si="2"/>
        <v>1270.592</v>
      </c>
      <c r="AL41" s="61">
        <f t="shared" si="2"/>
        <v>2036.7</v>
      </c>
      <c r="AM41" s="61">
        <f t="shared" si="2"/>
        <v>2036.7</v>
      </c>
      <c r="AN41" s="61">
        <f t="shared" si="2"/>
        <v>21551.689</v>
      </c>
      <c r="AO41" s="61">
        <f t="shared" si="2"/>
        <v>21551.652</v>
      </c>
      <c r="AP41" s="61">
        <f t="shared" si="2"/>
        <v>243</v>
      </c>
      <c r="AQ41" s="61">
        <f t="shared" si="2"/>
        <v>243</v>
      </c>
      <c r="AR41" s="61">
        <f t="shared" si="2"/>
        <v>38866.555</v>
      </c>
      <c r="AS41" s="61">
        <f t="shared" si="2"/>
        <v>38411.455</v>
      </c>
      <c r="AT41" s="61">
        <f t="shared" si="2"/>
        <v>15220.2</v>
      </c>
      <c r="AU41" s="61">
        <f t="shared" si="2"/>
        <v>15220.2</v>
      </c>
      <c r="AV41" s="61">
        <f t="shared" si="2"/>
        <v>45317.8</v>
      </c>
      <c r="AW41" s="61">
        <f t="shared" si="2"/>
        <v>45317.8</v>
      </c>
      <c r="AX41" s="61">
        <f t="shared" si="2"/>
        <v>24</v>
      </c>
      <c r="AY41" s="61">
        <f t="shared" si="2"/>
        <v>24</v>
      </c>
      <c r="AZ41" s="61">
        <f t="shared" si="2"/>
        <v>40038.01600000001</v>
      </c>
      <c r="BA41" s="61">
        <f t="shared" si="2"/>
        <v>38722.055</v>
      </c>
      <c r="BB41" s="61">
        <f t="shared" si="2"/>
        <v>67105.30900000001</v>
      </c>
      <c r="BC41" s="61">
        <f t="shared" si="2"/>
        <v>66909.404</v>
      </c>
      <c r="BD41" s="61">
        <f t="shared" si="2"/>
        <v>514.374</v>
      </c>
      <c r="BE41" s="61">
        <f t="shared" si="2"/>
        <v>514.374</v>
      </c>
      <c r="BF41" s="61">
        <f t="shared" si="2"/>
        <v>910</v>
      </c>
      <c r="BG41" s="61">
        <f t="shared" si="2"/>
        <v>910</v>
      </c>
      <c r="BH41" s="61">
        <f t="shared" si="2"/>
        <v>11189.815</v>
      </c>
      <c r="BI41" s="61">
        <f t="shared" si="2"/>
        <v>11166.033</v>
      </c>
      <c r="BJ41" s="61">
        <f t="shared" si="2"/>
        <v>2415</v>
      </c>
      <c r="BK41" s="61">
        <f aca="true" t="shared" si="3" ref="BK41:DV41">SUM(BK3:BK40)</f>
        <v>2415</v>
      </c>
      <c r="BL41" s="61">
        <f t="shared" si="3"/>
        <v>7491.335999999999</v>
      </c>
      <c r="BM41" s="61">
        <f t="shared" si="3"/>
        <v>7283.018</v>
      </c>
      <c r="BN41" s="61">
        <f t="shared" si="3"/>
        <v>104.76</v>
      </c>
      <c r="BO41" s="61">
        <f t="shared" si="3"/>
        <v>0</v>
      </c>
      <c r="BP41" s="61">
        <f t="shared" si="3"/>
        <v>643.5</v>
      </c>
      <c r="BQ41" s="61">
        <f t="shared" si="3"/>
        <v>642.381</v>
      </c>
      <c r="BR41" s="61">
        <f t="shared" si="3"/>
        <v>4880.042</v>
      </c>
      <c r="BS41" s="61">
        <f t="shared" si="3"/>
        <v>4880.042</v>
      </c>
      <c r="BT41" s="61">
        <f t="shared" si="3"/>
        <v>1920.4</v>
      </c>
      <c r="BU41" s="61">
        <f t="shared" si="3"/>
        <v>1920.4</v>
      </c>
      <c r="BV41" s="61">
        <f t="shared" si="3"/>
        <v>147.181</v>
      </c>
      <c r="BW41" s="61">
        <f t="shared" si="3"/>
        <v>138.181</v>
      </c>
      <c r="BX41" s="61">
        <f t="shared" si="3"/>
        <v>172.428</v>
      </c>
      <c r="BY41" s="61">
        <f t="shared" si="3"/>
        <v>172.428</v>
      </c>
      <c r="BZ41" s="61">
        <f t="shared" si="3"/>
        <v>112</v>
      </c>
      <c r="CA41" s="61">
        <f t="shared" si="3"/>
        <v>77.9</v>
      </c>
      <c r="CB41" s="61">
        <f t="shared" si="3"/>
        <v>1096.8</v>
      </c>
      <c r="CC41" s="61">
        <f t="shared" si="3"/>
        <v>995.903</v>
      </c>
      <c r="CD41" s="61">
        <f t="shared" si="3"/>
        <v>227.718</v>
      </c>
      <c r="CE41" s="61">
        <f t="shared" si="3"/>
        <v>227.718</v>
      </c>
      <c r="CF41" s="61">
        <f t="shared" si="3"/>
        <v>3980.101</v>
      </c>
      <c r="CG41" s="61">
        <f t="shared" si="3"/>
        <v>3813.0619999999994</v>
      </c>
      <c r="CH41" s="61">
        <f t="shared" si="3"/>
        <v>9223.199</v>
      </c>
      <c r="CI41" s="61">
        <f t="shared" si="3"/>
        <v>9129.821</v>
      </c>
      <c r="CJ41" s="61">
        <f t="shared" si="3"/>
        <v>5839.265</v>
      </c>
      <c r="CK41" s="61">
        <f t="shared" si="3"/>
        <v>5839.265</v>
      </c>
      <c r="CL41" s="61">
        <f t="shared" si="3"/>
        <v>1000</v>
      </c>
      <c r="CM41" s="61">
        <f t="shared" si="3"/>
        <v>980.565</v>
      </c>
      <c r="CN41" s="61">
        <f t="shared" si="3"/>
        <v>38054.630000000005</v>
      </c>
      <c r="CO41" s="61">
        <f t="shared" si="3"/>
        <v>37250.394</v>
      </c>
      <c r="CP41" s="61">
        <f t="shared" si="3"/>
        <v>636.2</v>
      </c>
      <c r="CQ41" s="61">
        <f t="shared" si="3"/>
        <v>635.95</v>
      </c>
      <c r="CR41" s="61">
        <f t="shared" si="3"/>
        <v>15375.5</v>
      </c>
      <c r="CS41" s="61">
        <f t="shared" si="3"/>
        <v>11574.564999999999</v>
      </c>
      <c r="CT41" s="61">
        <f t="shared" si="3"/>
        <v>588565.5</v>
      </c>
      <c r="CU41" s="61">
        <f t="shared" si="3"/>
        <v>588556.603</v>
      </c>
      <c r="CV41" s="61">
        <f t="shared" si="3"/>
        <v>56343.4</v>
      </c>
      <c r="CW41" s="61">
        <f t="shared" si="3"/>
        <v>56343.4</v>
      </c>
      <c r="CX41" s="61">
        <f t="shared" si="3"/>
        <v>1201.1</v>
      </c>
      <c r="CY41" s="61">
        <f t="shared" si="3"/>
        <v>1201.1</v>
      </c>
      <c r="CZ41" s="61">
        <f t="shared" si="3"/>
        <v>7859.7</v>
      </c>
      <c r="DA41" s="61">
        <f t="shared" si="3"/>
        <v>7859.7</v>
      </c>
      <c r="DB41" s="61">
        <f t="shared" si="3"/>
        <v>343.88</v>
      </c>
      <c r="DC41" s="61">
        <f t="shared" si="3"/>
        <v>268.88</v>
      </c>
      <c r="DD41" s="61">
        <f t="shared" si="3"/>
        <v>150281.482</v>
      </c>
      <c r="DE41" s="61">
        <f t="shared" si="3"/>
        <v>78534.154</v>
      </c>
      <c r="DF41" s="61">
        <f t="shared" si="3"/>
        <v>60641.203</v>
      </c>
      <c r="DG41" s="61">
        <f t="shared" si="3"/>
        <v>60174.763</v>
      </c>
      <c r="DH41" s="61">
        <f t="shared" si="3"/>
        <v>238.709</v>
      </c>
      <c r="DI41" s="61">
        <f t="shared" si="3"/>
        <v>238.709</v>
      </c>
      <c r="DJ41" s="61">
        <f t="shared" si="3"/>
        <v>17384</v>
      </c>
      <c r="DK41" s="61">
        <f t="shared" si="3"/>
        <v>17384</v>
      </c>
      <c r="DL41" s="61">
        <f t="shared" si="3"/>
        <v>300</v>
      </c>
      <c r="DM41" s="61">
        <f t="shared" si="3"/>
        <v>300</v>
      </c>
      <c r="DN41" s="61">
        <f t="shared" si="3"/>
        <v>4327</v>
      </c>
      <c r="DO41" s="61">
        <f t="shared" si="3"/>
        <v>4201.088</v>
      </c>
      <c r="DP41" s="61">
        <f t="shared" si="3"/>
        <v>1467.1</v>
      </c>
      <c r="DQ41" s="61">
        <f t="shared" si="3"/>
        <v>1467.058</v>
      </c>
      <c r="DR41" s="61">
        <f t="shared" si="3"/>
        <v>5658.9</v>
      </c>
      <c r="DS41" s="61">
        <f t="shared" si="3"/>
        <v>5658.9</v>
      </c>
      <c r="DT41" s="61">
        <f t="shared" si="3"/>
        <v>817.36</v>
      </c>
      <c r="DU41" s="61">
        <f t="shared" si="3"/>
        <v>817.36</v>
      </c>
      <c r="DV41" s="61">
        <f t="shared" si="3"/>
        <v>13438.896</v>
      </c>
      <c r="DW41" s="61">
        <f aca="true" t="shared" si="4" ref="DW41:EE41">SUM(DW3:DW40)</f>
        <v>12934.28</v>
      </c>
      <c r="DX41" s="61">
        <f t="shared" si="4"/>
        <v>40</v>
      </c>
      <c r="DY41" s="61">
        <f t="shared" si="4"/>
        <v>40</v>
      </c>
      <c r="DZ41" s="61">
        <f t="shared" si="4"/>
        <v>63717.5</v>
      </c>
      <c r="EA41" s="61">
        <f t="shared" si="4"/>
        <v>63717.5</v>
      </c>
      <c r="EB41" s="61">
        <f t="shared" si="4"/>
        <v>1210.608</v>
      </c>
      <c r="EC41" s="61">
        <f t="shared" si="4"/>
        <v>350</v>
      </c>
      <c r="ED41" s="307">
        <f t="shared" si="4"/>
        <v>1732280.3360000004</v>
      </c>
      <c r="EE41" s="307">
        <f t="shared" si="4"/>
        <v>1647601.9530000002</v>
      </c>
    </row>
    <row r="42" spans="42:133" ht="12.75">
      <c r="AP42" s="188"/>
      <c r="AQ42" s="188"/>
      <c r="AR42" s="188">
        <f>B41+D41+F41+H41+J41+L41+N41+P41+R41+T41+V41+X41+Z41+AB41+AD41+AF41+AH41+AJ41+AL41+AN41+AP41+AR41</f>
        <v>484804.424</v>
      </c>
      <c r="AS42" s="188">
        <f>C41+E41+G41+I41+K41+M41+O41+Q41+S41+U41+W41+Y41+AA41+AC41+AE41+AG41+AI41+AK41+AM41+AO41+AQ41+AS41</f>
        <v>480793.99900000007</v>
      </c>
      <c r="AU42" s="189"/>
      <c r="AV42" s="189"/>
      <c r="AW42" s="189"/>
      <c r="AX42" s="189">
        <f>AT41+AV41+AX41</f>
        <v>60562</v>
      </c>
      <c r="AY42" s="189">
        <f>AU41+AW41+AY41</f>
        <v>60562</v>
      </c>
      <c r="AZ42" s="189"/>
      <c r="BA42" s="189"/>
      <c r="BB42" s="189"/>
      <c r="BC42" s="189"/>
      <c r="BD42" s="189"/>
      <c r="BE42" s="189"/>
      <c r="BF42" s="189"/>
      <c r="BG42" s="189"/>
      <c r="BH42" s="189"/>
      <c r="BI42" s="189"/>
      <c r="BJ42" s="189"/>
      <c r="BK42" s="189"/>
      <c r="BL42" s="189"/>
      <c r="BM42" s="189"/>
      <c r="BN42" s="189">
        <f>AZ41+BB41+BD41+BF41+BH41+BJ41+BL41+BN41</f>
        <v>129768.61</v>
      </c>
      <c r="BO42" s="189">
        <f>BA41+BC41+BE41+BG41+BI41+BK41+BM41+BO41</f>
        <v>127919.88399999999</v>
      </c>
      <c r="BP42" s="189">
        <f>BP41</f>
        <v>643.5</v>
      </c>
      <c r="BQ42" s="189">
        <f>BQ41</f>
        <v>642.381</v>
      </c>
      <c r="BR42" s="190"/>
      <c r="BS42" s="190"/>
      <c r="BT42" s="190"/>
      <c r="BU42" s="190"/>
      <c r="BV42" s="190"/>
      <c r="BW42" s="190"/>
      <c r="BX42" s="189">
        <f>BR41+BT41+BV41+BX41</f>
        <v>7120.051</v>
      </c>
      <c r="BY42" s="189">
        <f>BS41+BU41+BW41+BY41</f>
        <v>7111.051</v>
      </c>
      <c r="CD42" s="189">
        <f>BZ41+CB41+CD41</f>
        <v>1436.518</v>
      </c>
      <c r="CE42" s="189">
        <f>CA41+CC41+CE41</f>
        <v>1301.5210000000002</v>
      </c>
      <c r="CT42" s="189">
        <f>CF41+CH41+CJ41+CL41+CN41+CP41+CR41+CT41</f>
        <v>662674.395</v>
      </c>
      <c r="CU42" s="189">
        <f>CG41+CI41+CK41+CM41+CO41+CQ41+CS41+CU41</f>
        <v>657780.225</v>
      </c>
      <c r="CZ42" s="189">
        <f>CV41+CX41+CZ41</f>
        <v>65404.2</v>
      </c>
      <c r="DA42" s="189">
        <f>CW41+CY41+DA41</f>
        <v>65404.2</v>
      </c>
      <c r="EB42" s="189">
        <f>DB41+DD41+DF41+DH41+DJ41+DL41+DN41+DP41+DR41+DT41+DV41+DX41+DZ41+EB41</f>
        <v>319866.63800000004</v>
      </c>
      <c r="EC42" s="189">
        <f>DC41+DE41+DG41+DI41+DK41+DM41+DO41+DQ41+DS41+DU41+DW41+DY41+EA41+EC41</f>
        <v>246086.69199999995</v>
      </c>
    </row>
  </sheetData>
  <sheetProtection/>
  <mergeCells count="67">
    <mergeCell ref="ED2:EE2"/>
    <mergeCell ref="DV2:DW2"/>
    <mergeCell ref="CZ2:DA2"/>
    <mergeCell ref="EB2:EC2"/>
    <mergeCell ref="DR2:DS2"/>
    <mergeCell ref="DT2:DU2"/>
    <mergeCell ref="DH2:DI2"/>
    <mergeCell ref="DD2:DE2"/>
    <mergeCell ref="CV2:CW2"/>
    <mergeCell ref="DZ2:EA2"/>
    <mergeCell ref="DB2:DC2"/>
    <mergeCell ref="DL2:DM2"/>
    <mergeCell ref="CX2:CY2"/>
    <mergeCell ref="DN2:DO2"/>
    <mergeCell ref="DX2:DY2"/>
    <mergeCell ref="DJ2:DK2"/>
    <mergeCell ref="DF2:DG2"/>
    <mergeCell ref="DP2:DQ2"/>
    <mergeCell ref="CJ2:CK2"/>
    <mergeCell ref="CP2:CQ2"/>
    <mergeCell ref="CD2:CE2"/>
    <mergeCell ref="CL2:CM2"/>
    <mergeCell ref="CT2:CU2"/>
    <mergeCell ref="CR2:CS2"/>
    <mergeCell ref="CN2:CO2"/>
    <mergeCell ref="CB2:CC2"/>
    <mergeCell ref="BL2:BM2"/>
    <mergeCell ref="AX2:AY2"/>
    <mergeCell ref="BJ2:BK2"/>
    <mergeCell ref="CF2:CG2"/>
    <mergeCell ref="CH2:CI2"/>
    <mergeCell ref="BZ2:CA2"/>
    <mergeCell ref="BD2:BE2"/>
    <mergeCell ref="BX2:BY2"/>
    <mergeCell ref="B2:C2"/>
    <mergeCell ref="AB2:AC2"/>
    <mergeCell ref="BH2:BI2"/>
    <mergeCell ref="BT2:BU2"/>
    <mergeCell ref="BV2:BW2"/>
    <mergeCell ref="D2:E2"/>
    <mergeCell ref="N2:O2"/>
    <mergeCell ref="P2:Q2"/>
    <mergeCell ref="R2:S2"/>
    <mergeCell ref="AZ2:BA2"/>
    <mergeCell ref="L2:M2"/>
    <mergeCell ref="F2:G2"/>
    <mergeCell ref="H2:I2"/>
    <mergeCell ref="J2:K2"/>
    <mergeCell ref="AF2:AG2"/>
    <mergeCell ref="AH2:AI2"/>
    <mergeCell ref="AJ2:AK2"/>
    <mergeCell ref="BP2:BQ2"/>
    <mergeCell ref="Z2:AA2"/>
    <mergeCell ref="T2:U2"/>
    <mergeCell ref="V2:W2"/>
    <mergeCell ref="AP2:AQ2"/>
    <mergeCell ref="X2:Y2"/>
    <mergeCell ref="AD2:AE2"/>
    <mergeCell ref="AR2:AS2"/>
    <mergeCell ref="AT2:AU2"/>
    <mergeCell ref="AV2:AW2"/>
    <mergeCell ref="BR2:BS2"/>
    <mergeCell ref="AL2:AM2"/>
    <mergeCell ref="AN2:AO2"/>
    <mergeCell ref="BN2:BO2"/>
    <mergeCell ref="BB2:BC2"/>
    <mergeCell ref="BF2:BG2"/>
  </mergeCells>
  <printOptions/>
  <pageMargins left="0.31496062992125984" right="0" top="1.141732283464567" bottom="0.1968503937007874" header="0.31496062992125984" footer="0.3149606299212598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2:BV42"/>
  <sheetViews>
    <sheetView zoomScaleSheetLayoutView="10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I26" sqref="I26"/>
    </sheetView>
  </sheetViews>
  <sheetFormatPr defaultColWidth="9.140625" defaultRowHeight="12.75"/>
  <cols>
    <col min="1" max="1" width="6.00390625" style="186" customWidth="1"/>
    <col min="2" max="2" width="7.421875" style="187" customWidth="1"/>
    <col min="3" max="3" width="8.57421875" style="187" customWidth="1"/>
    <col min="4" max="4" width="7.7109375" style="187" customWidth="1"/>
    <col min="5" max="5" width="8.57421875" style="187" customWidth="1"/>
    <col min="6" max="6" width="7.421875" style="187" customWidth="1"/>
    <col min="7" max="7" width="6.140625" style="187" customWidth="1"/>
    <col min="8" max="8" width="9.140625" style="187" customWidth="1"/>
    <col min="9" max="9" width="8.140625" style="187" customWidth="1"/>
    <col min="10" max="10" width="8.421875" style="187" customWidth="1"/>
    <col min="11" max="11" width="8.28125" style="187" customWidth="1"/>
    <col min="12" max="12" width="7.421875" style="187" customWidth="1"/>
    <col min="13" max="13" width="6.28125" style="187" customWidth="1"/>
    <col min="14" max="14" width="7.28125" style="187" customWidth="1"/>
    <col min="15" max="16" width="7.421875" style="187" customWidth="1"/>
    <col min="17" max="17" width="8.421875" style="187" customWidth="1"/>
    <col min="18" max="18" width="6.421875" style="187" customWidth="1"/>
    <col min="19" max="19" width="6.00390625" style="187" customWidth="1"/>
    <col min="20" max="20" width="6.140625" style="187" customWidth="1"/>
    <col min="21" max="22" width="7.28125" style="187" customWidth="1"/>
    <col min="23" max="23" width="6.00390625" style="187" customWidth="1"/>
    <col min="24" max="24" width="8.28125" style="187" customWidth="1"/>
    <col min="25" max="25" width="8.28125" style="62" customWidth="1"/>
    <col min="26" max="26" width="8.421875" style="62" customWidth="1"/>
    <col min="27" max="27" width="7.8515625" style="62" bestFit="1" customWidth="1"/>
    <col min="28" max="29" width="8.140625" style="62" customWidth="1"/>
    <col min="30" max="30" width="6.28125" style="62" customWidth="1"/>
    <col min="31" max="31" width="6.00390625" style="62" customWidth="1"/>
    <col min="32" max="32" width="8.28125" style="62" customWidth="1"/>
    <col min="33" max="33" width="4.421875" style="62" bestFit="1" customWidth="1"/>
    <col min="34" max="34" width="7.28125" style="62" customWidth="1"/>
    <col min="35" max="35" width="7.7109375" style="62" customWidth="1"/>
    <col min="36" max="36" width="6.00390625" style="62" customWidth="1"/>
    <col min="37" max="37" width="7.7109375" style="62" customWidth="1"/>
    <col min="38" max="38" width="7.8515625" style="62" customWidth="1"/>
    <col min="39" max="39" width="6.00390625" style="62" customWidth="1"/>
    <col min="40" max="40" width="7.00390625" style="62" bestFit="1" customWidth="1"/>
    <col min="41" max="41" width="5.28125" style="62" customWidth="1"/>
    <col min="42" max="42" width="6.140625" style="62" customWidth="1"/>
    <col min="43" max="43" width="5.7109375" style="62" bestFit="1" customWidth="1"/>
    <col min="44" max="44" width="4.421875" style="62" bestFit="1" customWidth="1"/>
    <col min="45" max="47" width="7.421875" style="62" customWidth="1"/>
    <col min="48" max="48" width="6.140625" style="62" customWidth="1"/>
    <col min="49" max="49" width="6.00390625" style="62" customWidth="1"/>
    <col min="50" max="50" width="8.140625" style="62" customWidth="1"/>
    <col min="51" max="51" width="6.421875" style="62" customWidth="1"/>
    <col min="52" max="52" width="8.57421875" style="62" customWidth="1"/>
    <col min="53" max="53" width="9.57421875" style="62" customWidth="1"/>
    <col min="54" max="54" width="8.57421875" style="62" customWidth="1"/>
    <col min="55" max="55" width="4.421875" style="62" bestFit="1" customWidth="1"/>
    <col min="56" max="56" width="7.421875" style="62" customWidth="1"/>
    <col min="57" max="57" width="7.8515625" style="62" bestFit="1" customWidth="1"/>
    <col min="58" max="58" width="6.28125" style="62" customWidth="1"/>
    <col min="59" max="59" width="9.140625" style="62" customWidth="1"/>
    <col min="60" max="60" width="8.140625" style="62" customWidth="1"/>
    <col min="61" max="61" width="6.140625" style="62" customWidth="1"/>
    <col min="62" max="64" width="4.421875" style="62" bestFit="1" customWidth="1"/>
    <col min="65" max="65" width="8.421875" style="62" customWidth="1"/>
    <col min="66" max="66" width="6.421875" style="62" customWidth="1"/>
    <col min="67" max="67" width="7.421875" style="62" customWidth="1"/>
    <col min="68" max="68" width="6.140625" style="62" customWidth="1"/>
    <col min="69" max="69" width="8.421875" style="62" customWidth="1"/>
    <col min="70" max="70" width="7.421875" style="62" customWidth="1"/>
    <col min="71" max="71" width="4.421875" style="62" bestFit="1" customWidth="1"/>
    <col min="72" max="72" width="8.421875" style="62" customWidth="1"/>
    <col min="73" max="73" width="7.421875" style="62" customWidth="1"/>
    <col min="74" max="74" width="10.57421875" style="62" customWidth="1"/>
    <col min="75" max="16384" width="9.140625" style="62" customWidth="1"/>
  </cols>
  <sheetData>
    <row r="2" spans="1:74" s="183" customFormat="1" ht="12.75">
      <c r="A2" s="182"/>
      <c r="B2" s="458" t="s">
        <v>34</v>
      </c>
      <c r="C2" s="458" t="s">
        <v>415</v>
      </c>
      <c r="D2" s="458" t="s">
        <v>39</v>
      </c>
      <c r="E2" s="458" t="s">
        <v>789</v>
      </c>
      <c r="F2" s="458" t="s">
        <v>410</v>
      </c>
      <c r="G2" s="458" t="s">
        <v>42</v>
      </c>
      <c r="H2" s="458" t="s">
        <v>1019</v>
      </c>
      <c r="I2" s="458" t="s">
        <v>408</v>
      </c>
      <c r="J2" s="458" t="s">
        <v>663</v>
      </c>
      <c r="K2" s="458" t="s">
        <v>799</v>
      </c>
      <c r="L2" s="458" t="s">
        <v>684</v>
      </c>
      <c r="M2" s="458" t="s">
        <v>44</v>
      </c>
      <c r="N2" s="458" t="s">
        <v>690</v>
      </c>
      <c r="O2" s="458" t="s">
        <v>1202</v>
      </c>
      <c r="P2" s="458" t="s">
        <v>1012</v>
      </c>
      <c r="Q2" s="458" t="s">
        <v>662</v>
      </c>
      <c r="R2" s="458" t="s">
        <v>1017</v>
      </c>
      <c r="S2" s="458" t="s">
        <v>1018</v>
      </c>
      <c r="T2" s="458" t="s">
        <v>811</v>
      </c>
      <c r="U2" s="458" t="s">
        <v>815</v>
      </c>
      <c r="V2" s="458" t="s">
        <v>1022</v>
      </c>
      <c r="W2" s="458" t="s">
        <v>45</v>
      </c>
      <c r="X2" s="458" t="s">
        <v>1020</v>
      </c>
      <c r="Y2" s="458" t="s">
        <v>48</v>
      </c>
      <c r="Z2" s="458" t="s">
        <v>1021</v>
      </c>
      <c r="AA2" s="458" t="s">
        <v>1009</v>
      </c>
      <c r="AB2" s="458" t="s">
        <v>659</v>
      </c>
      <c r="AC2" s="458" t="s">
        <v>664</v>
      </c>
      <c r="AD2" s="458" t="s">
        <v>1046</v>
      </c>
      <c r="AE2" s="458" t="s">
        <v>660</v>
      </c>
      <c r="AF2" s="458" t="s">
        <v>1013</v>
      </c>
      <c r="AG2" s="458" t="s">
        <v>1010</v>
      </c>
      <c r="AH2" s="458" t="s">
        <v>1008</v>
      </c>
      <c r="AI2" s="458" t="s">
        <v>1011</v>
      </c>
      <c r="AJ2" s="458" t="s">
        <v>661</v>
      </c>
      <c r="AK2" s="458" t="s">
        <v>53</v>
      </c>
      <c r="AL2" s="458" t="s">
        <v>1014</v>
      </c>
      <c r="AM2" s="458" t="s">
        <v>1015</v>
      </c>
      <c r="AN2" s="458" t="s">
        <v>1016</v>
      </c>
      <c r="AO2" s="458" t="s">
        <v>1024</v>
      </c>
      <c r="AP2" s="458" t="s">
        <v>1032</v>
      </c>
      <c r="AQ2" s="458" t="s">
        <v>1027</v>
      </c>
      <c r="AR2" s="458" t="s">
        <v>1205</v>
      </c>
      <c r="AS2" s="458" t="s">
        <v>691</v>
      </c>
      <c r="AT2" s="458" t="s">
        <v>1023</v>
      </c>
      <c r="AU2" s="458" t="s">
        <v>1025</v>
      </c>
      <c r="AV2" s="458" t="s">
        <v>1028</v>
      </c>
      <c r="AW2" s="458" t="s">
        <v>1303</v>
      </c>
      <c r="AX2" s="458" t="s">
        <v>1031</v>
      </c>
      <c r="AY2" s="458" t="s">
        <v>1026</v>
      </c>
      <c r="AZ2" s="458" t="s">
        <v>1302</v>
      </c>
      <c r="BA2" s="458" t="s">
        <v>1029</v>
      </c>
      <c r="BB2" s="458" t="s">
        <v>1045</v>
      </c>
      <c r="BC2" s="458" t="s">
        <v>1203</v>
      </c>
      <c r="BD2" s="458" t="s">
        <v>1034</v>
      </c>
      <c r="BE2" s="458" t="s">
        <v>1042</v>
      </c>
      <c r="BF2" s="458" t="s">
        <v>1033</v>
      </c>
      <c r="BG2" s="458" t="s">
        <v>1040</v>
      </c>
      <c r="BH2" s="458" t="s">
        <v>1037</v>
      </c>
      <c r="BI2" s="458" t="s">
        <v>867</v>
      </c>
      <c r="BJ2" s="458" t="s">
        <v>869</v>
      </c>
      <c r="BK2" s="458" t="s">
        <v>874</v>
      </c>
      <c r="BL2" s="458" t="s">
        <v>1035</v>
      </c>
      <c r="BM2" s="458" t="s">
        <v>1038</v>
      </c>
      <c r="BN2" s="458" t="s">
        <v>1304</v>
      </c>
      <c r="BO2" s="458" t="s">
        <v>1044</v>
      </c>
      <c r="BP2" s="458" t="s">
        <v>882</v>
      </c>
      <c r="BQ2" s="458" t="s">
        <v>1041</v>
      </c>
      <c r="BR2" s="458" t="s">
        <v>1204</v>
      </c>
      <c r="BS2" s="458" t="s">
        <v>1036</v>
      </c>
      <c r="BT2" s="458" t="s">
        <v>898</v>
      </c>
      <c r="BU2" s="458" t="s">
        <v>1043</v>
      </c>
      <c r="BV2" s="459" t="s">
        <v>428</v>
      </c>
    </row>
    <row r="3" spans="1:74" ht="12.75">
      <c r="A3" s="184" t="s">
        <v>401</v>
      </c>
      <c r="B3" s="61"/>
      <c r="C3" s="61"/>
      <c r="D3" s="61"/>
      <c r="E3" s="61"/>
      <c r="F3" s="61"/>
      <c r="G3" s="61"/>
      <c r="H3" s="61"/>
      <c r="I3" s="61"/>
      <c r="J3" s="61"/>
      <c r="K3" s="61"/>
      <c r="L3" s="61"/>
      <c r="M3" s="61"/>
      <c r="N3" s="61"/>
      <c r="O3" s="61"/>
      <c r="P3" s="61"/>
      <c r="Q3" s="61"/>
      <c r="R3" s="61"/>
      <c r="S3" s="61"/>
      <c r="T3" s="61"/>
      <c r="U3" s="61"/>
      <c r="V3" s="61"/>
      <c r="W3" s="61"/>
      <c r="X3" s="61"/>
      <c r="Y3" s="61"/>
      <c r="Z3" s="61"/>
      <c r="AA3" s="61"/>
      <c r="AB3" s="61">
        <v>520.2</v>
      </c>
      <c r="AC3" s="61">
        <v>1850</v>
      </c>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307">
        <f>SUM(B3:BU3)</f>
        <v>2370.2</v>
      </c>
    </row>
    <row r="4" spans="1:74" ht="12.75">
      <c r="A4" s="184" t="s">
        <v>402</v>
      </c>
      <c r="B4" s="61"/>
      <c r="C4" s="61"/>
      <c r="D4" s="61"/>
      <c r="E4" s="61"/>
      <c r="F4" s="61"/>
      <c r="G4" s="61"/>
      <c r="H4" s="61"/>
      <c r="I4" s="61"/>
      <c r="J4" s="61"/>
      <c r="K4" s="61"/>
      <c r="L4" s="61"/>
      <c r="M4" s="61"/>
      <c r="N4" s="61"/>
      <c r="O4" s="61"/>
      <c r="P4" s="61"/>
      <c r="Q4" s="61"/>
      <c r="R4" s="61"/>
      <c r="S4" s="61"/>
      <c r="T4" s="61"/>
      <c r="U4" s="61"/>
      <c r="V4" s="61"/>
      <c r="W4" s="61"/>
      <c r="X4" s="61"/>
      <c r="Y4" s="61"/>
      <c r="Z4" s="61"/>
      <c r="AA4" s="61"/>
      <c r="AB4" s="61">
        <f>476.8+425.9</f>
        <v>902.7</v>
      </c>
      <c r="AC4" s="61">
        <v>1400</v>
      </c>
      <c r="AD4" s="61"/>
      <c r="AE4" s="61"/>
      <c r="AF4" s="61"/>
      <c r="AG4" s="61"/>
      <c r="AH4" s="61">
        <v>40</v>
      </c>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307">
        <f aca="true" t="shared" si="0" ref="BV4:BV40">SUM(B4:BU4)</f>
        <v>2342.7</v>
      </c>
    </row>
    <row r="5" spans="1:74" ht="12.75">
      <c r="A5" s="184" t="s">
        <v>403</v>
      </c>
      <c r="B5" s="61"/>
      <c r="C5" s="61"/>
      <c r="D5" s="61"/>
      <c r="E5" s="61"/>
      <c r="F5" s="61"/>
      <c r="G5" s="61"/>
      <c r="H5" s="61"/>
      <c r="I5" s="61"/>
      <c r="J5" s="61"/>
      <c r="K5" s="61"/>
      <c r="L5" s="61"/>
      <c r="M5" s="61"/>
      <c r="N5" s="61"/>
      <c r="O5" s="61"/>
      <c r="P5" s="61"/>
      <c r="Q5" s="61"/>
      <c r="R5" s="61"/>
      <c r="S5" s="61"/>
      <c r="T5" s="61"/>
      <c r="U5" s="61"/>
      <c r="V5" s="61"/>
      <c r="W5" s="61"/>
      <c r="X5" s="61"/>
      <c r="Y5" s="61"/>
      <c r="Z5" s="61"/>
      <c r="AA5" s="61"/>
      <c r="AB5" s="61">
        <f>160+19999.6</f>
        <v>20159.6</v>
      </c>
      <c r="AC5" s="61">
        <v>27779</v>
      </c>
      <c r="AD5" s="61"/>
      <c r="AE5" s="61">
        <v>910</v>
      </c>
      <c r="AF5" s="61"/>
      <c r="AG5" s="61"/>
      <c r="AH5" s="61">
        <v>980</v>
      </c>
      <c r="AI5" s="61"/>
      <c r="AJ5" s="61"/>
      <c r="AK5" s="61"/>
      <c r="AL5" s="61"/>
      <c r="AM5" s="61"/>
      <c r="AN5" s="61"/>
      <c r="AO5" s="61"/>
      <c r="AP5" s="61"/>
      <c r="AQ5" s="61"/>
      <c r="AR5" s="61"/>
      <c r="AS5" s="61">
        <f>3506.177</f>
        <v>3506.177</v>
      </c>
      <c r="AT5" s="61">
        <f>8058.623</f>
        <v>8058.623</v>
      </c>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307">
        <f t="shared" si="0"/>
        <v>61393.4</v>
      </c>
    </row>
    <row r="6" spans="1:74" ht="12.75">
      <c r="A6" s="184" t="s">
        <v>471</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v>26</v>
      </c>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307">
        <f t="shared" si="0"/>
        <v>26</v>
      </c>
    </row>
    <row r="7" spans="1:74" ht="12.75">
      <c r="A7" s="184" t="s">
        <v>404</v>
      </c>
      <c r="B7" s="61"/>
      <c r="C7" s="61"/>
      <c r="D7" s="61"/>
      <c r="E7" s="61"/>
      <c r="F7" s="61"/>
      <c r="G7" s="61"/>
      <c r="H7" s="61"/>
      <c r="I7" s="61"/>
      <c r="J7" s="61"/>
      <c r="K7" s="61"/>
      <c r="L7" s="61"/>
      <c r="M7" s="61"/>
      <c r="N7" s="61"/>
      <c r="O7" s="61"/>
      <c r="P7" s="61"/>
      <c r="Q7" s="61"/>
      <c r="R7" s="61"/>
      <c r="S7" s="61"/>
      <c r="T7" s="61"/>
      <c r="U7" s="61"/>
      <c r="V7" s="61"/>
      <c r="W7" s="61"/>
      <c r="X7" s="61"/>
      <c r="Y7" s="61"/>
      <c r="Z7" s="61"/>
      <c r="AA7" s="61"/>
      <c r="AB7" s="61">
        <f>5603.7+76.6+38.5+250</f>
        <v>5968.8</v>
      </c>
      <c r="AC7" s="61">
        <f>13945+850</f>
        <v>14795</v>
      </c>
      <c r="AD7" s="61"/>
      <c r="AE7" s="61"/>
      <c r="AF7" s="61"/>
      <c r="AG7" s="61"/>
      <c r="AH7" s="61">
        <v>464.6</v>
      </c>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307">
        <f t="shared" si="0"/>
        <v>21228.399999999998</v>
      </c>
    </row>
    <row r="8" spans="1:74" ht="12.75">
      <c r="A8" s="184" t="s">
        <v>483</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307">
        <f t="shared" si="0"/>
        <v>0</v>
      </c>
    </row>
    <row r="9" spans="1:74" ht="12.75">
      <c r="A9" s="184" t="s">
        <v>405</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v>2000</v>
      </c>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307">
        <f t="shared" si="0"/>
        <v>2000</v>
      </c>
    </row>
    <row r="10" spans="1:74" ht="12.75">
      <c r="A10" s="184" t="s">
        <v>406</v>
      </c>
      <c r="B10" s="61">
        <f>3300+27.6</f>
        <v>3327.6</v>
      </c>
      <c r="C10" s="61"/>
      <c r="D10" s="61"/>
      <c r="E10" s="61"/>
      <c r="F10" s="61"/>
      <c r="G10" s="61"/>
      <c r="H10" s="61"/>
      <c r="I10" s="61"/>
      <c r="J10" s="61"/>
      <c r="K10" s="61"/>
      <c r="L10" s="61"/>
      <c r="M10" s="61"/>
      <c r="N10" s="61"/>
      <c r="O10" s="61"/>
      <c r="P10" s="61">
        <f>2852.3-253</f>
        <v>2599.3</v>
      </c>
      <c r="Q10" s="61"/>
      <c r="R10" s="61"/>
      <c r="S10" s="61"/>
      <c r="T10" s="61"/>
      <c r="U10" s="61"/>
      <c r="V10" s="61"/>
      <c r="W10" s="61"/>
      <c r="X10" s="61"/>
      <c r="Y10" s="61"/>
      <c r="Z10" s="61"/>
      <c r="AA10" s="61"/>
      <c r="AB10" s="61"/>
      <c r="AC10" s="61"/>
      <c r="AD10" s="61"/>
      <c r="AE10" s="61"/>
      <c r="AF10" s="61">
        <f>2406.8+8760.8+20</f>
        <v>11187.599999999999</v>
      </c>
      <c r="AG10" s="61"/>
      <c r="AH10" s="61">
        <f>160+253</f>
        <v>413</v>
      </c>
      <c r="AI10" s="61"/>
      <c r="AJ10" s="61"/>
      <c r="AK10" s="61"/>
      <c r="AL10" s="61">
        <f>1602.2</f>
        <v>1602.2</v>
      </c>
      <c r="AM10" s="61">
        <f>138.6+15</f>
        <v>153.6</v>
      </c>
      <c r="AN10" s="61">
        <f>180.7</f>
        <v>180.7</v>
      </c>
      <c r="AO10" s="61"/>
      <c r="AP10" s="61"/>
      <c r="AQ10" s="61"/>
      <c r="AR10" s="61"/>
      <c r="AS10" s="61"/>
      <c r="AT10" s="61"/>
      <c r="AU10" s="61"/>
      <c r="AV10" s="61"/>
      <c r="AW10" s="61"/>
      <c r="AX10" s="61"/>
      <c r="AY10" s="61"/>
      <c r="AZ10" s="61"/>
      <c r="BA10" s="61"/>
      <c r="BB10" s="61"/>
      <c r="BC10" s="61"/>
      <c r="BD10" s="61"/>
      <c r="BE10" s="61"/>
      <c r="BF10" s="61">
        <v>500</v>
      </c>
      <c r="BG10" s="61"/>
      <c r="BH10" s="61"/>
      <c r="BI10" s="61"/>
      <c r="BJ10" s="61"/>
      <c r="BK10" s="61"/>
      <c r="BL10" s="61"/>
      <c r="BM10" s="61"/>
      <c r="BN10" s="61"/>
      <c r="BO10" s="61"/>
      <c r="BP10" s="61"/>
      <c r="BQ10" s="61"/>
      <c r="BR10" s="61"/>
      <c r="BS10" s="61"/>
      <c r="BT10" s="61"/>
      <c r="BU10" s="61"/>
      <c r="BV10" s="307">
        <f t="shared" si="0"/>
        <v>19964</v>
      </c>
    </row>
    <row r="11" spans="1:74" ht="12.75">
      <c r="A11" s="184" t="s">
        <v>429</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v>1237.5</v>
      </c>
      <c r="BE11" s="61"/>
      <c r="BF11" s="61"/>
      <c r="BG11" s="61"/>
      <c r="BH11" s="61"/>
      <c r="BI11" s="61"/>
      <c r="BJ11" s="61"/>
      <c r="BK11" s="61"/>
      <c r="BL11" s="61"/>
      <c r="BM11" s="61"/>
      <c r="BN11" s="61"/>
      <c r="BO11" s="61"/>
      <c r="BP11" s="61"/>
      <c r="BQ11" s="61"/>
      <c r="BR11" s="61"/>
      <c r="BS11" s="61"/>
      <c r="BT11" s="61"/>
      <c r="BU11" s="61"/>
      <c r="BV11" s="307">
        <f t="shared" si="0"/>
        <v>1237.5</v>
      </c>
    </row>
    <row r="12" spans="1:74" ht="12.75">
      <c r="A12" s="184" t="s">
        <v>409</v>
      </c>
      <c r="B12" s="61"/>
      <c r="C12" s="61"/>
      <c r="D12" s="61"/>
      <c r="E12" s="61"/>
      <c r="F12" s="61"/>
      <c r="G12" s="61">
        <f>198</f>
        <v>198</v>
      </c>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307">
        <f t="shared" si="0"/>
        <v>198</v>
      </c>
    </row>
    <row r="13" spans="1:74" ht="12.75">
      <c r="A13" s="184" t="s">
        <v>430</v>
      </c>
      <c r="B13" s="61"/>
      <c r="C13" s="61"/>
      <c r="D13" s="61"/>
      <c r="E13" s="61"/>
      <c r="F13" s="61"/>
      <c r="G13" s="61">
        <v>281.6</v>
      </c>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307">
        <f t="shared" si="0"/>
        <v>281.6</v>
      </c>
    </row>
    <row r="14" spans="1:74" ht="12.75">
      <c r="A14" s="184" t="s">
        <v>432</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v>48.769</v>
      </c>
      <c r="AT14" s="61">
        <v>154.531</v>
      </c>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307">
        <f t="shared" si="0"/>
        <v>203.3</v>
      </c>
    </row>
    <row r="15" spans="1:74" ht="12.75">
      <c r="A15" s="184" t="s">
        <v>411</v>
      </c>
      <c r="B15" s="61"/>
      <c r="C15" s="61"/>
      <c r="D15" s="61"/>
      <c r="E15" s="61"/>
      <c r="F15" s="61"/>
      <c r="G15" s="61"/>
      <c r="H15" s="61"/>
      <c r="I15" s="61"/>
      <c r="J15" s="61"/>
      <c r="K15" s="61"/>
      <c r="L15" s="61"/>
      <c r="M15" s="61"/>
      <c r="N15" s="61"/>
      <c r="O15" s="61"/>
      <c r="P15" s="61"/>
      <c r="Q15" s="61"/>
      <c r="R15" s="61"/>
      <c r="S15" s="61">
        <v>374</v>
      </c>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f>555.263+12.409</f>
        <v>567.672</v>
      </c>
      <c r="AT15" s="61">
        <f>1284.737+41.091</f>
        <v>1325.828</v>
      </c>
      <c r="AU15" s="61">
        <f>9.495+10.286+123.471+602.829+5403.6+50.129+1380.781+179.219</f>
        <v>7759.81</v>
      </c>
      <c r="AV15" s="61"/>
      <c r="AW15" s="61"/>
      <c r="AX15" s="61"/>
      <c r="AY15" s="61">
        <v>636.2</v>
      </c>
      <c r="AZ15" s="61"/>
      <c r="BA15" s="61"/>
      <c r="BB15" s="61"/>
      <c r="BC15" s="61"/>
      <c r="BD15" s="61"/>
      <c r="BE15" s="61"/>
      <c r="BF15" s="61"/>
      <c r="BG15" s="61"/>
      <c r="BH15" s="61"/>
      <c r="BI15" s="61"/>
      <c r="BJ15" s="61"/>
      <c r="BK15" s="61"/>
      <c r="BL15" s="61"/>
      <c r="BM15" s="61">
        <f>46.31727+3110.4947+26618.64405+6997.89</f>
        <v>36773.34602</v>
      </c>
      <c r="BN15" s="61"/>
      <c r="BO15" s="61"/>
      <c r="BP15" s="61"/>
      <c r="BQ15" s="61"/>
      <c r="BR15" s="61"/>
      <c r="BS15" s="61"/>
      <c r="BT15" s="61"/>
      <c r="BU15" s="61"/>
      <c r="BV15" s="307">
        <f t="shared" si="0"/>
        <v>47436.85602</v>
      </c>
    </row>
    <row r="16" spans="1:74" ht="12.75">
      <c r="A16" s="184" t="s">
        <v>412</v>
      </c>
      <c r="B16" s="61"/>
      <c r="C16" s="61"/>
      <c r="D16" s="61"/>
      <c r="E16" s="61"/>
      <c r="F16" s="61"/>
      <c r="G16" s="61"/>
      <c r="H16" s="61"/>
      <c r="I16" s="61"/>
      <c r="J16" s="61"/>
      <c r="K16" s="61"/>
      <c r="L16" s="61"/>
      <c r="M16" s="61"/>
      <c r="N16" s="61"/>
      <c r="O16" s="61"/>
      <c r="P16" s="61"/>
      <c r="Q16" s="61"/>
      <c r="R16" s="61">
        <v>975</v>
      </c>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307">
        <f t="shared" si="0"/>
        <v>975</v>
      </c>
    </row>
    <row r="17" spans="1:74" ht="12.75">
      <c r="A17" s="184" t="s">
        <v>413</v>
      </c>
      <c r="B17" s="61"/>
      <c r="C17" s="61"/>
      <c r="D17" s="61"/>
      <c r="E17" s="61">
        <f>3749+14000</f>
        <v>17749</v>
      </c>
      <c r="F17" s="61">
        <v>3207</v>
      </c>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307">
        <f t="shared" si="0"/>
        <v>20956</v>
      </c>
    </row>
    <row r="18" spans="1:74" ht="12.75">
      <c r="A18" s="184" t="s">
        <v>414</v>
      </c>
      <c r="B18" s="61"/>
      <c r="C18" s="61"/>
      <c r="D18" s="61">
        <v>4024.08737</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v>45948.123</v>
      </c>
      <c r="BI18" s="61"/>
      <c r="BJ18" s="61"/>
      <c r="BK18" s="61"/>
      <c r="BL18" s="61"/>
      <c r="BM18" s="61"/>
      <c r="BN18" s="61"/>
      <c r="BO18" s="61"/>
      <c r="BP18" s="61"/>
      <c r="BQ18" s="61"/>
      <c r="BR18" s="61"/>
      <c r="BS18" s="61"/>
      <c r="BT18" s="61"/>
      <c r="BU18" s="61"/>
      <c r="BV18" s="307">
        <f t="shared" si="0"/>
        <v>49972.21037</v>
      </c>
    </row>
    <row r="19" spans="1:74" ht="12.75">
      <c r="A19" s="184" t="s">
        <v>1039</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v>1500</v>
      </c>
      <c r="BN19" s="61"/>
      <c r="BO19" s="61"/>
      <c r="BP19" s="61"/>
      <c r="BQ19" s="61"/>
      <c r="BR19" s="61"/>
      <c r="BS19" s="61"/>
      <c r="BT19" s="61"/>
      <c r="BU19" s="61"/>
      <c r="BV19" s="307">
        <f t="shared" si="0"/>
        <v>1500</v>
      </c>
    </row>
    <row r="20" spans="1:74" ht="12.75">
      <c r="A20" s="184" t="s">
        <v>416</v>
      </c>
      <c r="B20" s="61"/>
      <c r="C20" s="61"/>
      <c r="D20" s="61"/>
      <c r="E20" s="61"/>
      <c r="F20" s="61"/>
      <c r="G20" s="61"/>
      <c r="H20" s="61"/>
      <c r="I20" s="61"/>
      <c r="J20" s="61"/>
      <c r="K20" s="61"/>
      <c r="L20" s="61"/>
      <c r="M20" s="61"/>
      <c r="N20" s="61"/>
      <c r="O20" s="61">
        <v>1800</v>
      </c>
      <c r="P20" s="61"/>
      <c r="Q20" s="61"/>
      <c r="R20" s="61"/>
      <c r="S20" s="61"/>
      <c r="T20" s="61">
        <f>650</f>
        <v>650</v>
      </c>
      <c r="U20" s="61"/>
      <c r="V20" s="61"/>
      <c r="W20" s="61"/>
      <c r="X20" s="61"/>
      <c r="Y20" s="61"/>
      <c r="Z20" s="61"/>
      <c r="AA20" s="61"/>
      <c r="AB20" s="61"/>
      <c r="AC20" s="61"/>
      <c r="AD20" s="61"/>
      <c r="AE20" s="61"/>
      <c r="AF20" s="61"/>
      <c r="AG20" s="61"/>
      <c r="AH20" s="61"/>
      <c r="AI20" s="61"/>
      <c r="AJ20" s="61">
        <v>295</v>
      </c>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v>1800</v>
      </c>
      <c r="BS20" s="61"/>
      <c r="BT20" s="61"/>
      <c r="BU20" s="61"/>
      <c r="BV20" s="307">
        <f t="shared" si="0"/>
        <v>4545</v>
      </c>
    </row>
    <row r="21" spans="1:74" ht="12.75">
      <c r="A21" s="184" t="s">
        <v>431</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v>127.7</v>
      </c>
      <c r="BJ21" s="61"/>
      <c r="BK21" s="61"/>
      <c r="BL21" s="61"/>
      <c r="BM21" s="61"/>
      <c r="BN21" s="61"/>
      <c r="BO21" s="61"/>
      <c r="BP21" s="61"/>
      <c r="BQ21" s="61"/>
      <c r="BR21" s="61"/>
      <c r="BS21" s="61"/>
      <c r="BT21" s="61"/>
      <c r="BU21" s="61"/>
      <c r="BV21" s="307">
        <f t="shared" si="0"/>
        <v>127.7</v>
      </c>
    </row>
    <row r="22" spans="1:74" ht="12.75">
      <c r="A22" s="184" t="s">
        <v>417</v>
      </c>
      <c r="B22" s="61"/>
      <c r="C22" s="61">
        <v>36366.19789</v>
      </c>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f>20784.06638+79441.625</f>
        <v>100225.69138</v>
      </c>
      <c r="BH22" s="61"/>
      <c r="BI22" s="61"/>
      <c r="BJ22" s="61"/>
      <c r="BK22" s="61"/>
      <c r="BL22" s="61"/>
      <c r="BM22" s="61"/>
      <c r="BN22" s="61"/>
      <c r="BO22" s="61"/>
      <c r="BP22" s="61"/>
      <c r="BQ22" s="61"/>
      <c r="BR22" s="61"/>
      <c r="BS22" s="61"/>
      <c r="BT22" s="61"/>
      <c r="BU22" s="61"/>
      <c r="BV22" s="307">
        <f t="shared" si="0"/>
        <v>136591.88927</v>
      </c>
    </row>
    <row r="23" spans="1:74" ht="12.75">
      <c r="A23" s="184" t="s">
        <v>418</v>
      </c>
      <c r="B23" s="61"/>
      <c r="C23" s="61"/>
      <c r="D23" s="61"/>
      <c r="E23" s="61"/>
      <c r="F23" s="61"/>
      <c r="G23" s="61"/>
      <c r="H23" s="61"/>
      <c r="I23" s="61"/>
      <c r="J23" s="61"/>
      <c r="K23" s="61"/>
      <c r="L23" s="61"/>
      <c r="M23" s="61"/>
      <c r="N23" s="61">
        <v>8527.2</v>
      </c>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v>24570.338</v>
      </c>
      <c r="BR23" s="61"/>
      <c r="BS23" s="61"/>
      <c r="BT23" s="61"/>
      <c r="BU23" s="61"/>
      <c r="BV23" s="307">
        <f t="shared" si="0"/>
        <v>33097.538</v>
      </c>
    </row>
    <row r="24" spans="1:74" ht="12.75" hidden="1">
      <c r="A24" s="184" t="s">
        <v>547</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307">
        <f t="shared" si="0"/>
        <v>0</v>
      </c>
    </row>
    <row r="25" spans="1:74" ht="12.75">
      <c r="A25" s="184" t="s">
        <v>419</v>
      </c>
      <c r="B25" s="61"/>
      <c r="C25" s="61"/>
      <c r="D25" s="61"/>
      <c r="E25" s="61"/>
      <c r="F25" s="61"/>
      <c r="G25" s="61"/>
      <c r="H25" s="61">
        <f>25860.3+1517.1+72283.003+5895.714</f>
        <v>105556.117</v>
      </c>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v>1381.8</v>
      </c>
      <c r="AI25" s="61"/>
      <c r="AJ25" s="61"/>
      <c r="AK25" s="61"/>
      <c r="AL25" s="61"/>
      <c r="AM25" s="61"/>
      <c r="AN25" s="61"/>
      <c r="AO25" s="61"/>
      <c r="AP25" s="61"/>
      <c r="AQ25" s="61"/>
      <c r="AR25" s="61"/>
      <c r="AS25" s="61"/>
      <c r="AT25" s="61"/>
      <c r="AU25" s="61"/>
      <c r="AV25" s="61">
        <f>136.735</f>
        <v>136.735</v>
      </c>
      <c r="AW25" s="61"/>
      <c r="AX25" s="61"/>
      <c r="AY25" s="61"/>
      <c r="AZ25" s="61">
        <f>434.5+529.3</f>
        <v>963.8</v>
      </c>
      <c r="BA25" s="61">
        <v>109488.6</v>
      </c>
      <c r="BB25" s="61"/>
      <c r="BC25" s="61"/>
      <c r="BD25" s="61"/>
      <c r="BE25" s="61"/>
      <c r="BF25" s="61"/>
      <c r="BG25" s="61"/>
      <c r="BH25" s="61"/>
      <c r="BI25" s="61"/>
      <c r="BJ25" s="61"/>
      <c r="BK25" s="61"/>
      <c r="BL25" s="61"/>
      <c r="BM25" s="61"/>
      <c r="BN25" s="61"/>
      <c r="BO25" s="61"/>
      <c r="BP25" s="61"/>
      <c r="BQ25" s="61"/>
      <c r="BR25" s="61"/>
      <c r="BS25" s="61"/>
      <c r="BT25" s="61"/>
      <c r="BU25" s="61"/>
      <c r="BV25" s="307">
        <f t="shared" si="0"/>
        <v>217527.05200000003</v>
      </c>
    </row>
    <row r="26" spans="1:74" ht="12.75">
      <c r="A26" s="184" t="s">
        <v>420</v>
      </c>
      <c r="B26" s="61"/>
      <c r="C26" s="61"/>
      <c r="D26" s="61"/>
      <c r="E26" s="61"/>
      <c r="F26" s="61"/>
      <c r="G26" s="61"/>
      <c r="H26" s="61">
        <v>30707.6</v>
      </c>
      <c r="I26" s="61">
        <f>4221.5+863.7+1249.94+562.131+1600.3+1125.05+986.4+451.45+22198.71373+3180.691+1273.2+111.996</f>
        <v>37825.071729999996</v>
      </c>
      <c r="J26" s="61">
        <f>3041.9+156.26+984.869+1600.3+1125.05+163.4+10451.45+44758.09354+99+6939.165+916.8+93.1</f>
        <v>70329.38754000001</v>
      </c>
      <c r="K26" s="61"/>
      <c r="L26" s="61"/>
      <c r="M26" s="61"/>
      <c r="N26" s="61"/>
      <c r="O26" s="61"/>
      <c r="P26" s="61"/>
      <c r="Q26" s="61"/>
      <c r="R26" s="61"/>
      <c r="S26" s="61"/>
      <c r="T26" s="61"/>
      <c r="U26" s="61"/>
      <c r="V26" s="61"/>
      <c r="W26" s="61"/>
      <c r="X26" s="61"/>
      <c r="Y26" s="61"/>
      <c r="Z26" s="61"/>
      <c r="AA26" s="61"/>
      <c r="AB26" s="61"/>
      <c r="AC26" s="61"/>
      <c r="AD26" s="61"/>
      <c r="AE26" s="61"/>
      <c r="AF26" s="61"/>
      <c r="AG26" s="61"/>
      <c r="AH26" s="61">
        <v>3716</v>
      </c>
      <c r="AI26" s="61"/>
      <c r="AJ26" s="61"/>
      <c r="AK26" s="61"/>
      <c r="AL26" s="61"/>
      <c r="AM26" s="61"/>
      <c r="AN26" s="61"/>
      <c r="AO26" s="61"/>
      <c r="AP26" s="61"/>
      <c r="AQ26" s="61"/>
      <c r="AR26" s="61"/>
      <c r="AS26" s="61"/>
      <c r="AT26" s="61"/>
      <c r="AU26" s="61"/>
      <c r="AV26" s="61">
        <v>754.775</v>
      </c>
      <c r="AW26" s="61"/>
      <c r="AX26" s="61">
        <v>2524.7</v>
      </c>
      <c r="AY26" s="61"/>
      <c r="AZ26" s="61">
        <v>13221</v>
      </c>
      <c r="BA26" s="61">
        <f>453968.418+41098.2+8.882</f>
        <v>495075.5</v>
      </c>
      <c r="BB26" s="61"/>
      <c r="BC26" s="61"/>
      <c r="BD26" s="61"/>
      <c r="BE26" s="61"/>
      <c r="BF26" s="61"/>
      <c r="BG26" s="61"/>
      <c r="BH26" s="61"/>
      <c r="BI26" s="61"/>
      <c r="BJ26" s="61"/>
      <c r="BK26" s="61"/>
      <c r="BL26" s="61"/>
      <c r="BM26" s="61"/>
      <c r="BN26" s="61"/>
      <c r="BO26" s="61"/>
      <c r="BP26" s="61"/>
      <c r="BQ26" s="61"/>
      <c r="BR26" s="61"/>
      <c r="BS26" s="61"/>
      <c r="BT26" s="61"/>
      <c r="BU26" s="61"/>
      <c r="BV26" s="307">
        <f t="shared" si="0"/>
        <v>654154.0342700001</v>
      </c>
    </row>
    <row r="27" spans="1:74" ht="12.75">
      <c r="A27" s="184" t="s">
        <v>484</v>
      </c>
      <c r="B27" s="61"/>
      <c r="C27" s="61"/>
      <c r="D27" s="61"/>
      <c r="E27" s="61"/>
      <c r="F27" s="61"/>
      <c r="G27" s="61"/>
      <c r="H27" s="61"/>
      <c r="I27" s="61"/>
      <c r="J27" s="61"/>
      <c r="K27" s="61">
        <f>36906.9+380+4714.2+42216.149+2632.6+181.5</f>
        <v>87031.349</v>
      </c>
      <c r="L27" s="61"/>
      <c r="M27" s="61">
        <v>488.3</v>
      </c>
      <c r="N27" s="61"/>
      <c r="O27" s="61"/>
      <c r="P27" s="61"/>
      <c r="Q27" s="61"/>
      <c r="R27" s="61"/>
      <c r="S27" s="61"/>
      <c r="T27" s="61"/>
      <c r="U27" s="61"/>
      <c r="V27" s="61"/>
      <c r="W27" s="61"/>
      <c r="X27" s="61"/>
      <c r="Y27" s="61"/>
      <c r="Z27" s="61"/>
      <c r="AA27" s="61"/>
      <c r="AB27" s="61"/>
      <c r="AC27" s="61"/>
      <c r="AD27" s="61"/>
      <c r="AE27" s="61"/>
      <c r="AF27" s="61"/>
      <c r="AG27" s="61"/>
      <c r="AH27" s="61">
        <v>713.5</v>
      </c>
      <c r="AI27" s="61"/>
      <c r="AJ27" s="61"/>
      <c r="AK27" s="61"/>
      <c r="AL27" s="61"/>
      <c r="AM27" s="61"/>
      <c r="AN27" s="61"/>
      <c r="AO27" s="61"/>
      <c r="AP27" s="61"/>
      <c r="AQ27" s="61"/>
      <c r="AR27" s="61"/>
      <c r="AS27" s="61"/>
      <c r="AT27" s="61"/>
      <c r="AU27" s="61"/>
      <c r="AV27" s="61">
        <v>46.49</v>
      </c>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307">
        <f t="shared" si="0"/>
        <v>88279.63900000001</v>
      </c>
    </row>
    <row r="28" spans="1:74" ht="12.75">
      <c r="A28" s="184" t="s">
        <v>421</v>
      </c>
      <c r="B28" s="61"/>
      <c r="C28" s="61"/>
      <c r="D28" s="61"/>
      <c r="E28" s="61"/>
      <c r="F28" s="61"/>
      <c r="G28" s="61"/>
      <c r="H28" s="61"/>
      <c r="I28" s="61"/>
      <c r="J28" s="61"/>
      <c r="K28" s="61"/>
      <c r="L28" s="61">
        <f>4729.3+2850.6</f>
        <v>7579.9</v>
      </c>
      <c r="M28" s="61"/>
      <c r="N28" s="61"/>
      <c r="O28" s="61"/>
      <c r="P28" s="61"/>
      <c r="Q28" s="61"/>
      <c r="R28" s="61"/>
      <c r="S28" s="61"/>
      <c r="T28" s="61"/>
      <c r="U28" s="61"/>
      <c r="V28" s="61"/>
      <c r="W28" s="61">
        <v>300</v>
      </c>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307">
        <f t="shared" si="0"/>
        <v>7879.9</v>
      </c>
    </row>
    <row r="29" spans="1:74" ht="12.75">
      <c r="A29" s="184" t="s">
        <v>422</v>
      </c>
      <c r="B29" s="61"/>
      <c r="C29" s="61"/>
      <c r="D29" s="61"/>
      <c r="E29" s="61"/>
      <c r="F29" s="61"/>
      <c r="G29" s="61"/>
      <c r="H29" s="61"/>
      <c r="I29" s="61"/>
      <c r="J29" s="61"/>
      <c r="K29" s="61"/>
      <c r="L29" s="61"/>
      <c r="M29" s="61">
        <v>319.4</v>
      </c>
      <c r="N29" s="61"/>
      <c r="O29" s="61"/>
      <c r="P29" s="61"/>
      <c r="Q29" s="61"/>
      <c r="R29" s="61"/>
      <c r="S29" s="61"/>
      <c r="T29" s="61"/>
      <c r="U29" s="61"/>
      <c r="V29" s="61"/>
      <c r="W29" s="61"/>
      <c r="X29" s="61"/>
      <c r="Y29" s="61"/>
      <c r="Z29" s="61"/>
      <c r="AA29" s="61"/>
      <c r="AB29" s="61">
        <f>5399.3+6.4</f>
        <v>5405.7</v>
      </c>
      <c r="AC29" s="61">
        <f>11885.6</f>
        <v>11885.6</v>
      </c>
      <c r="AD29" s="61"/>
      <c r="AE29" s="61"/>
      <c r="AF29" s="61"/>
      <c r="AG29" s="61"/>
      <c r="AH29" s="61">
        <v>250</v>
      </c>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307">
        <f t="shared" si="0"/>
        <v>17860.7</v>
      </c>
    </row>
    <row r="30" spans="1:74" s="185" customFormat="1" ht="12.75">
      <c r="A30" s="184" t="s">
        <v>423</v>
      </c>
      <c r="B30" s="61"/>
      <c r="C30" s="61"/>
      <c r="D30" s="61"/>
      <c r="E30" s="61"/>
      <c r="F30" s="61"/>
      <c r="G30" s="61"/>
      <c r="H30" s="61"/>
      <c r="I30" s="61"/>
      <c r="J30" s="61"/>
      <c r="K30" s="61"/>
      <c r="L30" s="61"/>
      <c r="M30" s="61"/>
      <c r="N30" s="61"/>
      <c r="O30" s="61"/>
      <c r="P30" s="61">
        <f>1479</f>
        <v>1479</v>
      </c>
      <c r="Q30" s="61">
        <f>44309.6+1818.4+6651.5+5510.1495+550.5+279</f>
        <v>59119.1495</v>
      </c>
      <c r="R30" s="61"/>
      <c r="S30" s="61"/>
      <c r="T30" s="61"/>
      <c r="U30" s="61"/>
      <c r="V30" s="61"/>
      <c r="W30" s="61"/>
      <c r="X30" s="61">
        <f>30149.9+2696.2505+7896.8</f>
        <v>40742.950500000006</v>
      </c>
      <c r="Y30" s="61">
        <v>15544.1</v>
      </c>
      <c r="Z30" s="61">
        <f>22762.775+23281.4</f>
        <v>46044.175</v>
      </c>
      <c r="AA30" s="61"/>
      <c r="AB30" s="61"/>
      <c r="AC30" s="61"/>
      <c r="AD30" s="61"/>
      <c r="AE30" s="61"/>
      <c r="AF30" s="61"/>
      <c r="AG30" s="61"/>
      <c r="AH30" s="61">
        <v>600</v>
      </c>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v>480</v>
      </c>
      <c r="BO30" s="61"/>
      <c r="BP30" s="61"/>
      <c r="BQ30" s="61"/>
      <c r="BR30" s="61"/>
      <c r="BS30" s="61"/>
      <c r="BT30" s="61"/>
      <c r="BU30" s="61"/>
      <c r="BV30" s="307">
        <f t="shared" si="0"/>
        <v>164009.375</v>
      </c>
    </row>
    <row r="31" spans="1:74" ht="12.75">
      <c r="A31" s="184" t="s">
        <v>424</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f>2982.9+31</f>
        <v>3013.9</v>
      </c>
      <c r="AC31" s="61">
        <v>6448.8</v>
      </c>
      <c r="AD31" s="61"/>
      <c r="AE31" s="61"/>
      <c r="AF31" s="61"/>
      <c r="AG31" s="61"/>
      <c r="AH31" s="61">
        <v>410</v>
      </c>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307">
        <f t="shared" si="0"/>
        <v>9872.7</v>
      </c>
    </row>
    <row r="32" spans="1:74" ht="12.75">
      <c r="A32" s="184" t="s">
        <v>425</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v>4921.23661</v>
      </c>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307">
        <f t="shared" si="0"/>
        <v>4921.23661</v>
      </c>
    </row>
    <row r="33" spans="1:74" ht="12.75">
      <c r="A33" s="184" t="s">
        <v>407</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v>786.6</v>
      </c>
      <c r="AQ33" s="61"/>
      <c r="AR33" s="61"/>
      <c r="AS33" s="61"/>
      <c r="AT33" s="61"/>
      <c r="AU33" s="61"/>
      <c r="AV33" s="61"/>
      <c r="AW33" s="61">
        <f>238.286</f>
        <v>238.286</v>
      </c>
      <c r="AX33" s="61">
        <f>70+33443.5+14196+84</f>
        <v>47793.5</v>
      </c>
      <c r="AY33" s="61"/>
      <c r="AZ33" s="61"/>
      <c r="BA33" s="61"/>
      <c r="BB33" s="61"/>
      <c r="BC33" s="61"/>
      <c r="BD33" s="61"/>
      <c r="BE33" s="61">
        <f>7281.772+405.542+1980</f>
        <v>9667.314</v>
      </c>
      <c r="BF33" s="61"/>
      <c r="BG33" s="61"/>
      <c r="BH33" s="61"/>
      <c r="BI33" s="61"/>
      <c r="BJ33" s="61"/>
      <c r="BK33" s="61"/>
      <c r="BL33" s="61"/>
      <c r="BM33" s="61"/>
      <c r="BN33" s="61"/>
      <c r="BO33" s="61"/>
      <c r="BP33" s="61"/>
      <c r="BQ33" s="61"/>
      <c r="BR33" s="61"/>
      <c r="BS33" s="61"/>
      <c r="BT33" s="61"/>
      <c r="BU33" s="61">
        <f>421.03679+421.037+860.608</f>
        <v>1702.6817899999999</v>
      </c>
      <c r="BV33" s="307">
        <f t="shared" si="0"/>
        <v>60188.38179</v>
      </c>
    </row>
    <row r="34" spans="1:74" ht="12.75">
      <c r="A34" s="184" t="s">
        <v>415</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v>2.8</v>
      </c>
      <c r="AL34" s="61"/>
      <c r="AM34" s="61"/>
      <c r="AN34" s="61"/>
      <c r="AO34" s="61"/>
      <c r="AP34" s="61"/>
      <c r="AQ34" s="61"/>
      <c r="AR34" s="61"/>
      <c r="AS34" s="61">
        <v>5.583</v>
      </c>
      <c r="AT34" s="61">
        <v>12.917</v>
      </c>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307">
        <f t="shared" si="0"/>
        <v>21.299999999999997</v>
      </c>
    </row>
    <row r="35" spans="1:74" ht="12.75">
      <c r="A35" s="184" t="s">
        <v>400</v>
      </c>
      <c r="B35" s="61"/>
      <c r="C35" s="61"/>
      <c r="D35" s="61"/>
      <c r="E35" s="61"/>
      <c r="F35" s="61"/>
      <c r="G35" s="61"/>
      <c r="H35" s="61"/>
      <c r="I35" s="61"/>
      <c r="J35" s="61"/>
      <c r="K35" s="61"/>
      <c r="L35" s="61"/>
      <c r="M35" s="61"/>
      <c r="N35" s="61"/>
      <c r="O35" s="61"/>
      <c r="P35" s="61"/>
      <c r="Q35" s="61"/>
      <c r="R35" s="61"/>
      <c r="S35" s="61"/>
      <c r="T35" s="61"/>
      <c r="U35" s="61">
        <v>3903.2</v>
      </c>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v>6009.4</v>
      </c>
      <c r="BP35" s="61">
        <v>291</v>
      </c>
      <c r="BQ35" s="61"/>
      <c r="BR35" s="61"/>
      <c r="BS35" s="61"/>
      <c r="BT35" s="61"/>
      <c r="BU35" s="61"/>
      <c r="BV35" s="307">
        <f t="shared" si="0"/>
        <v>10203.599999999999</v>
      </c>
    </row>
    <row r="36" spans="1:74" ht="12.75">
      <c r="A36" s="184" t="s">
        <v>426</v>
      </c>
      <c r="B36" s="61"/>
      <c r="C36" s="61"/>
      <c r="D36" s="61"/>
      <c r="E36" s="61"/>
      <c r="F36" s="61"/>
      <c r="G36" s="61"/>
      <c r="H36" s="61"/>
      <c r="I36" s="61"/>
      <c r="J36" s="61"/>
      <c r="K36" s="61"/>
      <c r="L36" s="61"/>
      <c r="M36" s="61"/>
      <c r="N36" s="61"/>
      <c r="O36" s="61"/>
      <c r="P36" s="61"/>
      <c r="Q36" s="61"/>
      <c r="R36" s="61"/>
      <c r="S36" s="61"/>
      <c r="T36" s="61"/>
      <c r="U36" s="61"/>
      <c r="V36" s="61">
        <v>6378.071</v>
      </c>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307">
        <f t="shared" si="0"/>
        <v>6378.071</v>
      </c>
    </row>
    <row r="37" spans="1:74" ht="12.75" customHeight="1">
      <c r="A37" s="184" t="s">
        <v>47</v>
      </c>
      <c r="B37" s="61"/>
      <c r="C37" s="61"/>
      <c r="D37" s="61"/>
      <c r="E37" s="61"/>
      <c r="F37" s="61"/>
      <c r="G37" s="61"/>
      <c r="H37" s="61"/>
      <c r="I37" s="61"/>
      <c r="J37" s="61"/>
      <c r="K37" s="61"/>
      <c r="L37" s="61"/>
      <c r="M37" s="61"/>
      <c r="N37" s="61"/>
      <c r="O37" s="61"/>
      <c r="P37" s="61"/>
      <c r="Q37" s="61"/>
      <c r="R37" s="61"/>
      <c r="S37" s="61"/>
      <c r="T37" s="61"/>
      <c r="U37" s="61"/>
      <c r="V37" s="61">
        <v>230.265</v>
      </c>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307">
        <f t="shared" si="0"/>
        <v>230.265</v>
      </c>
    </row>
    <row r="38" spans="1:74" ht="12.75">
      <c r="A38" s="184" t="s">
        <v>427</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v>712</v>
      </c>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307">
        <f t="shared" si="0"/>
        <v>712</v>
      </c>
    </row>
    <row r="39" spans="1:74" ht="12.75">
      <c r="A39" s="184" t="s">
        <v>50</v>
      </c>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v>56343.4</v>
      </c>
      <c r="BC39" s="61"/>
      <c r="BD39" s="61"/>
      <c r="BE39" s="61"/>
      <c r="BF39" s="61"/>
      <c r="BG39" s="61"/>
      <c r="BH39" s="61"/>
      <c r="BI39" s="61"/>
      <c r="BJ39" s="61"/>
      <c r="BK39" s="61"/>
      <c r="BL39" s="61"/>
      <c r="BM39" s="61"/>
      <c r="BN39" s="61"/>
      <c r="BO39" s="61"/>
      <c r="BP39" s="61"/>
      <c r="BQ39" s="61"/>
      <c r="BR39" s="61"/>
      <c r="BS39" s="61"/>
      <c r="BT39" s="61"/>
      <c r="BU39" s="61"/>
      <c r="BV39" s="307">
        <f t="shared" si="0"/>
        <v>56343.4</v>
      </c>
    </row>
    <row r="40" spans="1:74" ht="12.75">
      <c r="A40" s="184" t="s">
        <v>51</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v>56184.5</v>
      </c>
      <c r="BU40" s="61"/>
      <c r="BV40" s="307">
        <f t="shared" si="0"/>
        <v>56184.5</v>
      </c>
    </row>
    <row r="41" spans="1:74" s="185" customFormat="1" ht="12.75">
      <c r="A41" s="184" t="s">
        <v>428</v>
      </c>
      <c r="B41" s="61">
        <f>SUM(B3:B40)</f>
        <v>3327.6</v>
      </c>
      <c r="C41" s="61">
        <f aca="true" t="shared" si="1" ref="C41:BN41">SUM(C3:C40)</f>
        <v>36366.19789</v>
      </c>
      <c r="D41" s="61">
        <f t="shared" si="1"/>
        <v>4024.08737</v>
      </c>
      <c r="E41" s="61">
        <f t="shared" si="1"/>
        <v>17749</v>
      </c>
      <c r="F41" s="61">
        <f t="shared" si="1"/>
        <v>3207</v>
      </c>
      <c r="G41" s="61">
        <f t="shared" si="1"/>
        <v>479.6</v>
      </c>
      <c r="H41" s="61">
        <f t="shared" si="1"/>
        <v>136263.717</v>
      </c>
      <c r="I41" s="61">
        <f t="shared" si="1"/>
        <v>37825.071729999996</v>
      </c>
      <c r="J41" s="61">
        <f t="shared" si="1"/>
        <v>70329.38754000001</v>
      </c>
      <c r="K41" s="61">
        <f t="shared" si="1"/>
        <v>87031.349</v>
      </c>
      <c r="L41" s="61">
        <f t="shared" si="1"/>
        <v>7579.9</v>
      </c>
      <c r="M41" s="61">
        <f t="shared" si="1"/>
        <v>807.7</v>
      </c>
      <c r="N41" s="61">
        <f t="shared" si="1"/>
        <v>8527.2</v>
      </c>
      <c r="O41" s="61">
        <f t="shared" si="1"/>
        <v>1800</v>
      </c>
      <c r="P41" s="61">
        <f t="shared" si="1"/>
        <v>4078.3</v>
      </c>
      <c r="Q41" s="61">
        <f t="shared" si="1"/>
        <v>59119.1495</v>
      </c>
      <c r="R41" s="61">
        <f t="shared" si="1"/>
        <v>975</v>
      </c>
      <c r="S41" s="61">
        <f t="shared" si="1"/>
        <v>374</v>
      </c>
      <c r="T41" s="61">
        <f t="shared" si="1"/>
        <v>650</v>
      </c>
      <c r="U41" s="61">
        <f t="shared" si="1"/>
        <v>3903.2</v>
      </c>
      <c r="V41" s="61">
        <f t="shared" si="1"/>
        <v>6608.336</v>
      </c>
      <c r="W41" s="61">
        <f t="shared" si="1"/>
        <v>300</v>
      </c>
      <c r="X41" s="61">
        <f t="shared" si="1"/>
        <v>40742.950500000006</v>
      </c>
      <c r="Y41" s="61">
        <f t="shared" si="1"/>
        <v>15544.1</v>
      </c>
      <c r="Z41" s="61">
        <f t="shared" si="1"/>
        <v>46044.175</v>
      </c>
      <c r="AA41" s="61">
        <f t="shared" si="1"/>
        <v>0</v>
      </c>
      <c r="AB41" s="61">
        <f t="shared" si="1"/>
        <v>35970.9</v>
      </c>
      <c r="AC41" s="61">
        <f t="shared" si="1"/>
        <v>64158.4</v>
      </c>
      <c r="AD41" s="61">
        <f t="shared" si="1"/>
        <v>712</v>
      </c>
      <c r="AE41" s="61">
        <f t="shared" si="1"/>
        <v>910</v>
      </c>
      <c r="AF41" s="61">
        <f t="shared" si="1"/>
        <v>11187.599999999999</v>
      </c>
      <c r="AG41" s="61">
        <f t="shared" si="1"/>
        <v>0</v>
      </c>
      <c r="AH41" s="61">
        <f t="shared" si="1"/>
        <v>8968.9</v>
      </c>
      <c r="AI41" s="61">
        <f t="shared" si="1"/>
        <v>2000</v>
      </c>
      <c r="AJ41" s="61">
        <f t="shared" si="1"/>
        <v>295</v>
      </c>
      <c r="AK41" s="61">
        <f t="shared" si="1"/>
        <v>4924.03661</v>
      </c>
      <c r="AL41" s="61">
        <f t="shared" si="1"/>
        <v>1602.2</v>
      </c>
      <c r="AM41" s="61">
        <f t="shared" si="1"/>
        <v>153.6</v>
      </c>
      <c r="AN41" s="61">
        <f t="shared" si="1"/>
        <v>180.7</v>
      </c>
      <c r="AO41" s="61">
        <f t="shared" si="1"/>
        <v>26</v>
      </c>
      <c r="AP41" s="61">
        <f t="shared" si="1"/>
        <v>786.6</v>
      </c>
      <c r="AQ41" s="61">
        <f t="shared" si="1"/>
        <v>0</v>
      </c>
      <c r="AR41" s="61">
        <f t="shared" si="1"/>
        <v>0</v>
      </c>
      <c r="AS41" s="61">
        <f t="shared" si="1"/>
        <v>4128.201</v>
      </c>
      <c r="AT41" s="61">
        <f t="shared" si="1"/>
        <v>9551.899</v>
      </c>
      <c r="AU41" s="61">
        <f t="shared" si="1"/>
        <v>7759.81</v>
      </c>
      <c r="AV41" s="61">
        <f t="shared" si="1"/>
        <v>938</v>
      </c>
      <c r="AW41" s="61">
        <f t="shared" si="1"/>
        <v>238.286</v>
      </c>
      <c r="AX41" s="61">
        <f t="shared" si="1"/>
        <v>50318.2</v>
      </c>
      <c r="AY41" s="61">
        <f t="shared" si="1"/>
        <v>636.2</v>
      </c>
      <c r="AZ41" s="61">
        <f t="shared" si="1"/>
        <v>14184.8</v>
      </c>
      <c r="BA41" s="61">
        <f t="shared" si="1"/>
        <v>604564.1</v>
      </c>
      <c r="BB41" s="61">
        <f t="shared" si="1"/>
        <v>56343.4</v>
      </c>
      <c r="BC41" s="61">
        <f t="shared" si="1"/>
        <v>0</v>
      </c>
      <c r="BD41" s="61">
        <f t="shared" si="1"/>
        <v>1237.5</v>
      </c>
      <c r="BE41" s="61">
        <f t="shared" si="1"/>
        <v>9667.314</v>
      </c>
      <c r="BF41" s="61">
        <f t="shared" si="1"/>
        <v>500</v>
      </c>
      <c r="BG41" s="61">
        <f t="shared" si="1"/>
        <v>100225.69138</v>
      </c>
      <c r="BH41" s="61">
        <f t="shared" si="1"/>
        <v>45948.123</v>
      </c>
      <c r="BI41" s="61">
        <f t="shared" si="1"/>
        <v>127.7</v>
      </c>
      <c r="BJ41" s="61">
        <f t="shared" si="1"/>
        <v>0</v>
      </c>
      <c r="BK41" s="61">
        <f t="shared" si="1"/>
        <v>0</v>
      </c>
      <c r="BL41" s="61">
        <f t="shared" si="1"/>
        <v>0</v>
      </c>
      <c r="BM41" s="61">
        <f t="shared" si="1"/>
        <v>38273.34602</v>
      </c>
      <c r="BN41" s="61">
        <f t="shared" si="1"/>
        <v>480</v>
      </c>
      <c r="BO41" s="61">
        <f aca="true" t="shared" si="2" ref="BO41:BV41">SUM(BO3:BO40)</f>
        <v>6009.4</v>
      </c>
      <c r="BP41" s="61">
        <f t="shared" si="2"/>
        <v>291</v>
      </c>
      <c r="BQ41" s="61">
        <f t="shared" si="2"/>
        <v>24570.338</v>
      </c>
      <c r="BR41" s="61">
        <f t="shared" si="2"/>
        <v>1800</v>
      </c>
      <c r="BS41" s="61">
        <f t="shared" si="2"/>
        <v>0</v>
      </c>
      <c r="BT41" s="61">
        <f t="shared" si="2"/>
        <v>56184.5</v>
      </c>
      <c r="BU41" s="61">
        <f t="shared" si="2"/>
        <v>1702.6817899999999</v>
      </c>
      <c r="BV41" s="61">
        <f t="shared" si="2"/>
        <v>1761213.44833</v>
      </c>
    </row>
    <row r="42" spans="23:73" ht="12.75">
      <c r="W42" s="188"/>
      <c r="X42" s="188">
        <f>SUM(B41:X41)</f>
        <v>532068.74653</v>
      </c>
      <c r="Z42" s="189"/>
      <c r="AA42" s="189">
        <f>Y41+Z41+AA41</f>
        <v>61588.275</v>
      </c>
      <c r="AB42" s="189"/>
      <c r="AC42" s="189"/>
      <c r="AD42" s="189"/>
      <c r="AE42" s="189"/>
      <c r="AF42" s="189"/>
      <c r="AG42" s="189"/>
      <c r="AH42" s="189"/>
      <c r="AI42" s="190">
        <f>AB41+AC41+AD41+AE41+AF41+AG41+AH41+AI41</f>
        <v>123907.79999999999</v>
      </c>
      <c r="AJ42" s="189">
        <f>AJ41</f>
        <v>295</v>
      </c>
      <c r="AK42" s="190"/>
      <c r="AL42" s="190"/>
      <c r="AM42" s="190"/>
      <c r="AN42" s="189">
        <f>AK41+AL41+AM41+AN41</f>
        <v>6860.53661</v>
      </c>
      <c r="AQ42" s="189">
        <f>AO41+AP41+AQ41</f>
        <v>812.6</v>
      </c>
      <c r="AR42" s="189"/>
      <c r="BA42" s="189">
        <f>AS41+AT41+AU41+AV41+AX41+AY41+AZ41+BA41</f>
        <v>692081.21</v>
      </c>
      <c r="BE42" s="189">
        <f>BB41+BD41+BE41</f>
        <v>67248.214</v>
      </c>
      <c r="BU42" s="190">
        <f>BF41+BG41+BH41+BI41+BJ41+BK41+BL41+BM41+BO41+BP41+BQ41+BS41+BT41+BU41</f>
        <v>273832.78019</v>
      </c>
    </row>
  </sheetData>
  <sheetProtection/>
  <printOptions/>
  <pageMargins left="0.31496062992125984" right="0" top="1.141732283464567" bottom="0.1968503937007874"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2:BT42"/>
  <sheetViews>
    <sheetView zoomScalePageLayoutView="0" workbookViewId="0" topLeftCell="A1">
      <pane xSplit="1" ySplit="2" topLeftCell="B4" activePane="bottomRight" state="frozen"/>
      <selection pane="topLeft" activeCell="A1" sqref="A1"/>
      <selection pane="topRight" activeCell="B1" sqref="B1"/>
      <selection pane="bottomLeft" activeCell="A3" sqref="A3"/>
      <selection pane="bottomRight" activeCell="B39" sqref="B38:B39"/>
    </sheetView>
  </sheetViews>
  <sheetFormatPr defaultColWidth="9.140625" defaultRowHeight="12.75"/>
  <cols>
    <col min="1" max="1" width="6.00390625" style="186" customWidth="1"/>
    <col min="2" max="2" width="7.28125" style="187" customWidth="1"/>
    <col min="3" max="3" width="8.28125" style="187" hidden="1" customWidth="1"/>
    <col min="4" max="4" width="8.421875" style="187" customWidth="1"/>
    <col min="5" max="5" width="8.140625" style="187" customWidth="1"/>
    <col min="6" max="6" width="7.57421875" style="187" customWidth="1"/>
    <col min="7" max="7" width="6.421875" style="187" customWidth="1"/>
    <col min="8" max="8" width="9.7109375" style="187" customWidth="1"/>
    <col min="9" max="9" width="8.8515625" style="187" customWidth="1"/>
    <col min="10" max="10" width="8.28125" style="187" customWidth="1"/>
    <col min="11" max="11" width="8.140625" style="187" customWidth="1"/>
    <col min="12" max="12" width="7.7109375" style="187" customWidth="1"/>
    <col min="13" max="13" width="6.00390625" style="187" customWidth="1"/>
    <col min="14" max="14" width="7.421875" style="187" customWidth="1"/>
    <col min="15" max="15" width="7.421875" style="187" hidden="1" customWidth="1"/>
    <col min="16" max="16" width="7.421875" style="187" customWidth="1"/>
    <col min="17" max="17" width="8.28125" style="187" customWidth="1"/>
    <col min="18" max="19" width="6.28125" style="187" customWidth="1"/>
    <col min="20" max="20" width="6.8515625" style="187" customWidth="1"/>
    <col min="21" max="21" width="8.421875" style="187" customWidth="1"/>
    <col min="22" max="22" width="7.57421875" style="187" customWidth="1"/>
    <col min="23" max="23" width="6.28125" style="187" customWidth="1"/>
    <col min="24" max="24" width="7.8515625" style="187" customWidth="1"/>
    <col min="25" max="25" width="8.140625" style="62" customWidth="1"/>
    <col min="26" max="26" width="8.7109375" style="62" customWidth="1"/>
    <col min="27" max="27" width="7.57421875" style="62" customWidth="1"/>
    <col min="28" max="29" width="8.140625" style="62" customWidth="1"/>
    <col min="30" max="30" width="6.140625" style="62" customWidth="1"/>
    <col min="31" max="31" width="6.28125" style="62" customWidth="1"/>
    <col min="32" max="32" width="8.421875" style="62" customWidth="1"/>
    <col min="33" max="33" width="7.421875" style="62" hidden="1" customWidth="1"/>
    <col min="34" max="34" width="7.421875" style="62" customWidth="1"/>
    <col min="35" max="35" width="7.28125" style="62" customWidth="1"/>
    <col min="36" max="36" width="6.421875" style="62" customWidth="1"/>
    <col min="37" max="37" width="7.421875" style="62" customWidth="1"/>
    <col min="38" max="38" width="7.28125" style="62" customWidth="1"/>
    <col min="39" max="39" width="6.140625" style="62" customWidth="1"/>
    <col min="40" max="40" width="6.8515625" style="62" customWidth="1"/>
    <col min="41" max="41" width="6.140625" style="62" hidden="1" customWidth="1"/>
    <col min="42" max="42" width="7.421875" style="62" customWidth="1"/>
    <col min="43" max="44" width="7.57421875" style="62" customWidth="1"/>
    <col min="45" max="45" width="8.28125" style="62" customWidth="1"/>
    <col min="46" max="47" width="7.421875" style="62" customWidth="1"/>
    <col min="48" max="48" width="6.57421875" style="62" customWidth="1"/>
    <col min="49" max="49" width="9.00390625" style="62" customWidth="1"/>
    <col min="50" max="50" width="6.7109375" style="62" customWidth="1"/>
    <col min="51" max="51" width="8.7109375" style="62" customWidth="1"/>
    <col min="52" max="52" width="9.140625" style="62" customWidth="1"/>
    <col min="53" max="53" width="8.8515625" style="62" customWidth="1"/>
    <col min="54" max="54" width="7.57421875" style="62" customWidth="1"/>
    <col min="55" max="55" width="7.57421875" style="62" hidden="1" customWidth="1"/>
    <col min="56" max="56" width="8.421875" style="62" customWidth="1"/>
    <col min="57" max="57" width="5.8515625" style="62" hidden="1" customWidth="1"/>
    <col min="58" max="58" width="9.57421875" style="62" customWidth="1"/>
    <col min="59" max="59" width="8.421875" style="62" customWidth="1"/>
    <col min="60" max="60" width="6.7109375" style="62" customWidth="1"/>
    <col min="61" max="61" width="8.7109375" style="62" hidden="1" customWidth="1"/>
    <col min="62" max="62" width="6.57421875" style="62" hidden="1" customWidth="1"/>
    <col min="63" max="63" width="7.57421875" style="62" hidden="1" customWidth="1"/>
    <col min="64" max="64" width="7.421875" style="62" hidden="1" customWidth="1"/>
    <col min="65" max="65" width="7.8515625" style="62" hidden="1" customWidth="1"/>
    <col min="66" max="66" width="6.421875" style="62" hidden="1" customWidth="1"/>
    <col min="67" max="68" width="8.8515625" style="62" hidden="1" customWidth="1"/>
    <col min="69" max="69" width="6.00390625" style="62" hidden="1" customWidth="1"/>
    <col min="70" max="70" width="9.00390625" style="62" customWidth="1"/>
    <col min="71" max="71" width="6.28125" style="62" customWidth="1"/>
    <col min="72" max="72" width="12.00390625" style="62" customWidth="1"/>
    <col min="73" max="16384" width="9.140625" style="62" customWidth="1"/>
  </cols>
  <sheetData>
    <row r="2" spans="1:72" s="183" customFormat="1" ht="12.75">
      <c r="A2" s="182"/>
      <c r="B2" s="458" t="s">
        <v>34</v>
      </c>
      <c r="C2" s="458" t="s">
        <v>415</v>
      </c>
      <c r="D2" s="458" t="s">
        <v>39</v>
      </c>
      <c r="E2" s="458" t="s">
        <v>789</v>
      </c>
      <c r="F2" s="458" t="s">
        <v>410</v>
      </c>
      <c r="G2" s="458" t="s">
        <v>42</v>
      </c>
      <c r="H2" s="458" t="s">
        <v>1019</v>
      </c>
      <c r="I2" s="458" t="s">
        <v>408</v>
      </c>
      <c r="J2" s="458" t="s">
        <v>663</v>
      </c>
      <c r="K2" s="458" t="s">
        <v>799</v>
      </c>
      <c r="L2" s="458" t="s">
        <v>684</v>
      </c>
      <c r="M2" s="458" t="s">
        <v>44</v>
      </c>
      <c r="N2" s="458" t="s">
        <v>690</v>
      </c>
      <c r="O2" s="458" t="s">
        <v>1202</v>
      </c>
      <c r="P2" s="458" t="s">
        <v>1012</v>
      </c>
      <c r="Q2" s="458" t="s">
        <v>662</v>
      </c>
      <c r="R2" s="458" t="s">
        <v>1017</v>
      </c>
      <c r="S2" s="458" t="s">
        <v>1018</v>
      </c>
      <c r="T2" s="458" t="s">
        <v>811</v>
      </c>
      <c r="U2" s="458" t="s">
        <v>815</v>
      </c>
      <c r="V2" s="458" t="s">
        <v>1022</v>
      </c>
      <c r="W2" s="458" t="s">
        <v>45</v>
      </c>
      <c r="X2" s="458" t="s">
        <v>1020</v>
      </c>
      <c r="Y2" s="458" t="s">
        <v>48</v>
      </c>
      <c r="Z2" s="458" t="s">
        <v>1021</v>
      </c>
      <c r="AA2" s="458" t="s">
        <v>1009</v>
      </c>
      <c r="AB2" s="458" t="s">
        <v>659</v>
      </c>
      <c r="AC2" s="458" t="s">
        <v>664</v>
      </c>
      <c r="AD2" s="458" t="s">
        <v>1046</v>
      </c>
      <c r="AE2" s="458" t="s">
        <v>660</v>
      </c>
      <c r="AF2" s="458" t="s">
        <v>1013</v>
      </c>
      <c r="AG2" s="458" t="s">
        <v>1010</v>
      </c>
      <c r="AH2" s="458" t="s">
        <v>1008</v>
      </c>
      <c r="AI2" s="458" t="s">
        <v>1011</v>
      </c>
      <c r="AJ2" s="458" t="s">
        <v>661</v>
      </c>
      <c r="AK2" s="458" t="s">
        <v>53</v>
      </c>
      <c r="AL2" s="458" t="s">
        <v>1014</v>
      </c>
      <c r="AM2" s="458" t="s">
        <v>1015</v>
      </c>
      <c r="AN2" s="458" t="s">
        <v>1016</v>
      </c>
      <c r="AO2" s="458" t="s">
        <v>1024</v>
      </c>
      <c r="AP2" s="458" t="s">
        <v>1032</v>
      </c>
      <c r="AQ2" s="458" t="s">
        <v>1027</v>
      </c>
      <c r="AR2" s="458" t="s">
        <v>1205</v>
      </c>
      <c r="AS2" s="458" t="s">
        <v>691</v>
      </c>
      <c r="AT2" s="458" t="s">
        <v>1023</v>
      </c>
      <c r="AU2" s="458" t="s">
        <v>1025</v>
      </c>
      <c r="AV2" s="458" t="s">
        <v>1028</v>
      </c>
      <c r="AW2" s="458" t="s">
        <v>1031</v>
      </c>
      <c r="AX2" s="458" t="s">
        <v>1026</v>
      </c>
      <c r="AY2" s="458" t="s">
        <v>1030</v>
      </c>
      <c r="AZ2" s="458" t="s">
        <v>1029</v>
      </c>
      <c r="BA2" s="458" t="s">
        <v>1045</v>
      </c>
      <c r="BB2" s="458" t="s">
        <v>1203</v>
      </c>
      <c r="BC2" s="458" t="s">
        <v>1034</v>
      </c>
      <c r="BD2" s="458" t="s">
        <v>1042</v>
      </c>
      <c r="BE2" s="458" t="s">
        <v>1033</v>
      </c>
      <c r="BF2" s="458" t="s">
        <v>1040</v>
      </c>
      <c r="BG2" s="458" t="s">
        <v>1037</v>
      </c>
      <c r="BH2" s="458" t="s">
        <v>867</v>
      </c>
      <c r="BI2" s="458" t="s">
        <v>869</v>
      </c>
      <c r="BJ2" s="458" t="s">
        <v>874</v>
      </c>
      <c r="BK2" s="458" t="s">
        <v>1035</v>
      </c>
      <c r="BL2" s="458" t="s">
        <v>1038</v>
      </c>
      <c r="BM2" s="458" t="s">
        <v>1044</v>
      </c>
      <c r="BN2" s="458" t="s">
        <v>882</v>
      </c>
      <c r="BO2" s="458" t="s">
        <v>1041</v>
      </c>
      <c r="BP2" s="458" t="s">
        <v>1204</v>
      </c>
      <c r="BQ2" s="458" t="s">
        <v>1036</v>
      </c>
      <c r="BR2" s="458" t="s">
        <v>898</v>
      </c>
      <c r="BS2" s="458" t="s">
        <v>1043</v>
      </c>
      <c r="BT2" s="459" t="s">
        <v>428</v>
      </c>
    </row>
    <row r="3" spans="1:72" ht="12.75">
      <c r="A3" s="184" t="s">
        <v>401</v>
      </c>
      <c r="B3" s="61"/>
      <c r="C3" s="61"/>
      <c r="D3" s="61"/>
      <c r="E3" s="61"/>
      <c r="F3" s="61"/>
      <c r="G3" s="61"/>
      <c r="H3" s="61"/>
      <c r="I3" s="61"/>
      <c r="J3" s="61"/>
      <c r="K3" s="61"/>
      <c r="L3" s="61"/>
      <c r="M3" s="61"/>
      <c r="N3" s="61"/>
      <c r="O3" s="61"/>
      <c r="P3" s="61"/>
      <c r="Q3" s="61"/>
      <c r="R3" s="61"/>
      <c r="S3" s="61"/>
      <c r="T3" s="61"/>
      <c r="U3" s="61"/>
      <c r="V3" s="61"/>
      <c r="W3" s="61"/>
      <c r="X3" s="61"/>
      <c r="Y3" s="61"/>
      <c r="Z3" s="61"/>
      <c r="AA3" s="61"/>
      <c r="AB3" s="61">
        <v>520.2</v>
      </c>
      <c r="AC3" s="61">
        <v>1850</v>
      </c>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307">
        <f>SUM(B3:BS3)</f>
        <v>2370.2</v>
      </c>
    </row>
    <row r="4" spans="1:72" ht="12.75">
      <c r="A4" s="184" t="s">
        <v>402</v>
      </c>
      <c r="B4" s="61"/>
      <c r="C4" s="61"/>
      <c r="D4" s="61"/>
      <c r="E4" s="61"/>
      <c r="F4" s="61"/>
      <c r="G4" s="61"/>
      <c r="H4" s="61"/>
      <c r="I4" s="61"/>
      <c r="J4" s="61"/>
      <c r="K4" s="61"/>
      <c r="L4" s="61"/>
      <c r="M4" s="61"/>
      <c r="N4" s="61"/>
      <c r="O4" s="61"/>
      <c r="P4" s="61"/>
      <c r="Q4" s="61"/>
      <c r="R4" s="61"/>
      <c r="S4" s="61"/>
      <c r="T4" s="61"/>
      <c r="U4" s="61"/>
      <c r="V4" s="61"/>
      <c r="W4" s="61"/>
      <c r="X4" s="61"/>
      <c r="Y4" s="61"/>
      <c r="Z4" s="61"/>
      <c r="AA4" s="61"/>
      <c r="AB4" s="61">
        <f>176.8+425.9</f>
        <v>602.7</v>
      </c>
      <c r="AC4" s="61">
        <v>1400</v>
      </c>
      <c r="AD4" s="61"/>
      <c r="AE4" s="61"/>
      <c r="AF4" s="61"/>
      <c r="AG4" s="61"/>
      <c r="AH4" s="61">
        <v>40</v>
      </c>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307">
        <f aca="true" t="shared" si="0" ref="BT4:BT40">SUM(B4:BS4)</f>
        <v>2042.7</v>
      </c>
    </row>
    <row r="5" spans="1:72" ht="12.75">
      <c r="A5" s="184" t="s">
        <v>403</v>
      </c>
      <c r="B5" s="61"/>
      <c r="C5" s="61"/>
      <c r="D5" s="61"/>
      <c r="E5" s="61"/>
      <c r="F5" s="61"/>
      <c r="G5" s="61"/>
      <c r="H5" s="61"/>
      <c r="I5" s="61"/>
      <c r="J5" s="61"/>
      <c r="K5" s="61"/>
      <c r="L5" s="61"/>
      <c r="M5" s="61"/>
      <c r="N5" s="61"/>
      <c r="O5" s="61"/>
      <c r="P5" s="61"/>
      <c r="Q5" s="61"/>
      <c r="R5" s="61"/>
      <c r="S5" s="61"/>
      <c r="T5" s="61"/>
      <c r="U5" s="61"/>
      <c r="V5" s="61"/>
      <c r="W5" s="61"/>
      <c r="X5" s="61"/>
      <c r="Y5" s="61"/>
      <c r="Z5" s="61"/>
      <c r="AA5" s="61"/>
      <c r="AB5" s="61">
        <f>160+20002.2</f>
        <v>20162.2</v>
      </c>
      <c r="AC5" s="61">
        <v>27779</v>
      </c>
      <c r="AD5" s="61"/>
      <c r="AE5" s="61">
        <v>910</v>
      </c>
      <c r="AF5" s="61"/>
      <c r="AG5" s="61"/>
      <c r="AH5" s="61">
        <v>1005</v>
      </c>
      <c r="AI5" s="61"/>
      <c r="AJ5" s="61"/>
      <c r="AK5" s="61"/>
      <c r="AL5" s="61"/>
      <c r="AM5" s="61"/>
      <c r="AN5" s="61"/>
      <c r="AO5" s="61"/>
      <c r="AP5" s="61"/>
      <c r="AQ5" s="61"/>
      <c r="AR5" s="61"/>
      <c r="AS5" s="61">
        <v>3558.586</v>
      </c>
      <c r="AT5" s="61">
        <v>8006.214</v>
      </c>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307">
        <f t="shared" si="0"/>
        <v>61421</v>
      </c>
    </row>
    <row r="6" spans="1:72" ht="12.75">
      <c r="A6" s="184" t="s">
        <v>471</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307">
        <f t="shared" si="0"/>
        <v>0</v>
      </c>
    </row>
    <row r="7" spans="1:72" ht="12.75">
      <c r="A7" s="184" t="s">
        <v>404</v>
      </c>
      <c r="B7" s="61"/>
      <c r="C7" s="61"/>
      <c r="D7" s="61"/>
      <c r="E7" s="61"/>
      <c r="F7" s="61"/>
      <c r="G7" s="61"/>
      <c r="H7" s="61"/>
      <c r="I7" s="61"/>
      <c r="J7" s="61"/>
      <c r="K7" s="61"/>
      <c r="L7" s="61"/>
      <c r="M7" s="61"/>
      <c r="N7" s="61"/>
      <c r="O7" s="61"/>
      <c r="P7" s="61"/>
      <c r="Q7" s="61"/>
      <c r="R7" s="61"/>
      <c r="S7" s="61"/>
      <c r="T7" s="61"/>
      <c r="U7" s="61"/>
      <c r="V7" s="61"/>
      <c r="W7" s="61"/>
      <c r="X7" s="61"/>
      <c r="Y7" s="61"/>
      <c r="Z7" s="61"/>
      <c r="AA7" s="61"/>
      <c r="AB7" s="61">
        <f>366.8+250+5238.4+30</f>
        <v>5885.2</v>
      </c>
      <c r="AC7" s="61">
        <f>583.5+850+13360</f>
        <v>14793.5</v>
      </c>
      <c r="AD7" s="61"/>
      <c r="AE7" s="61"/>
      <c r="AF7" s="61"/>
      <c r="AG7" s="61"/>
      <c r="AH7" s="61">
        <f>58.8+407.8</f>
        <v>466.6</v>
      </c>
      <c r="AI7" s="61"/>
      <c r="AJ7" s="61"/>
      <c r="AK7" s="61"/>
      <c r="AL7" s="61"/>
      <c r="AM7" s="61">
        <v>15</v>
      </c>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307">
        <f t="shared" si="0"/>
        <v>21160.3</v>
      </c>
    </row>
    <row r="8" spans="1:72" ht="12.75">
      <c r="A8" s="184" t="s">
        <v>483</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307">
        <f t="shared" si="0"/>
        <v>0</v>
      </c>
    </row>
    <row r="9" spans="1:72" ht="12.75">
      <c r="A9" s="184" t="s">
        <v>405</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v>2000</v>
      </c>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307">
        <f t="shared" si="0"/>
        <v>2000</v>
      </c>
    </row>
    <row r="10" spans="1:72" ht="12.75">
      <c r="A10" s="184" t="s">
        <v>406</v>
      </c>
      <c r="B10" s="61">
        <v>2890</v>
      </c>
      <c r="C10" s="61"/>
      <c r="D10" s="61"/>
      <c r="E10" s="61"/>
      <c r="F10" s="61"/>
      <c r="G10" s="61"/>
      <c r="H10" s="61"/>
      <c r="I10" s="61"/>
      <c r="J10" s="61"/>
      <c r="K10" s="61"/>
      <c r="L10" s="61"/>
      <c r="M10" s="61"/>
      <c r="N10" s="61"/>
      <c r="O10" s="61"/>
      <c r="P10" s="61">
        <f>2383.8+2+97+28.5</f>
        <v>2511.3</v>
      </c>
      <c r="Q10" s="61"/>
      <c r="R10" s="61"/>
      <c r="S10" s="61"/>
      <c r="T10" s="61"/>
      <c r="U10" s="61"/>
      <c r="V10" s="61"/>
      <c r="W10" s="61"/>
      <c r="X10" s="61"/>
      <c r="Y10" s="61"/>
      <c r="Z10" s="61"/>
      <c r="AA10" s="61"/>
      <c r="AB10" s="61"/>
      <c r="AC10" s="61"/>
      <c r="AD10" s="61"/>
      <c r="AE10" s="61"/>
      <c r="AF10" s="61">
        <f>2406.8+8742.6+20</f>
        <v>11169.400000000001</v>
      </c>
      <c r="AG10" s="61"/>
      <c r="AH10" s="61">
        <f>160+253</f>
        <v>413</v>
      </c>
      <c r="AI10" s="61"/>
      <c r="AJ10" s="61"/>
      <c r="AK10" s="61"/>
      <c r="AL10" s="61">
        <v>1330.4</v>
      </c>
      <c r="AM10" s="61">
        <v>138.6</v>
      </c>
      <c r="AN10" s="61">
        <v>180.7</v>
      </c>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307">
        <f t="shared" si="0"/>
        <v>18633.4</v>
      </c>
    </row>
    <row r="11" spans="1:72" ht="12.75">
      <c r="A11" s="184" t="s">
        <v>429</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v>1344.4</v>
      </c>
      <c r="BC11" s="61"/>
      <c r="BD11" s="61"/>
      <c r="BE11" s="61"/>
      <c r="BF11" s="61"/>
      <c r="BG11" s="61"/>
      <c r="BH11" s="61"/>
      <c r="BI11" s="61"/>
      <c r="BJ11" s="61"/>
      <c r="BK11" s="61"/>
      <c r="BL11" s="61"/>
      <c r="BM11" s="61"/>
      <c r="BN11" s="61"/>
      <c r="BO11" s="61"/>
      <c r="BP11" s="61"/>
      <c r="BQ11" s="61"/>
      <c r="BR11" s="61"/>
      <c r="BS11" s="61"/>
      <c r="BT11" s="307">
        <f t="shared" si="0"/>
        <v>1344.4</v>
      </c>
    </row>
    <row r="12" spans="1:72" ht="12.75">
      <c r="A12" s="184" t="s">
        <v>409</v>
      </c>
      <c r="B12" s="61"/>
      <c r="C12" s="61"/>
      <c r="D12" s="61"/>
      <c r="E12" s="61"/>
      <c r="F12" s="61"/>
      <c r="G12" s="61">
        <f>15+183</f>
        <v>198</v>
      </c>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307">
        <f t="shared" si="0"/>
        <v>198</v>
      </c>
    </row>
    <row r="13" spans="1:72" ht="12.75">
      <c r="A13" s="184" t="s">
        <v>430</v>
      </c>
      <c r="B13" s="61"/>
      <c r="C13" s="61"/>
      <c r="D13" s="61"/>
      <c r="E13" s="61"/>
      <c r="F13" s="61"/>
      <c r="G13" s="61">
        <v>281.6</v>
      </c>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307">
        <f t="shared" si="0"/>
        <v>281.6</v>
      </c>
    </row>
    <row r="14" spans="1:72" ht="12.75">
      <c r="A14" s="184" t="s">
        <v>432</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v>48.7685</v>
      </c>
      <c r="AT14" s="61">
        <v>154.531</v>
      </c>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307">
        <f t="shared" si="0"/>
        <v>203.29950000000002</v>
      </c>
    </row>
    <row r="15" spans="1:72" ht="12.75">
      <c r="A15" s="184" t="s">
        <v>411</v>
      </c>
      <c r="B15" s="61"/>
      <c r="C15" s="61"/>
      <c r="D15" s="61"/>
      <c r="E15" s="61"/>
      <c r="F15" s="61"/>
      <c r="G15" s="61"/>
      <c r="H15" s="61"/>
      <c r="I15" s="61"/>
      <c r="J15" s="61"/>
      <c r="K15" s="61"/>
      <c r="L15" s="61"/>
      <c r="M15" s="61"/>
      <c r="N15" s="61"/>
      <c r="O15" s="61"/>
      <c r="P15" s="61"/>
      <c r="Q15" s="61"/>
      <c r="R15" s="61"/>
      <c r="S15" s="61">
        <v>374</v>
      </c>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v>653.048</v>
      </c>
      <c r="AR15" s="61"/>
      <c r="AS15" s="61">
        <v>567.672</v>
      </c>
      <c r="AT15" s="61">
        <v>1325.828</v>
      </c>
      <c r="AU15" s="61">
        <v>6205.052</v>
      </c>
      <c r="AV15" s="61"/>
      <c r="AW15" s="61"/>
      <c r="AX15" s="61">
        <v>636.2</v>
      </c>
      <c r="AY15" s="61"/>
      <c r="AZ15" s="61"/>
      <c r="BA15" s="61"/>
      <c r="BB15" s="61"/>
      <c r="BC15" s="61"/>
      <c r="BD15" s="61"/>
      <c r="BE15" s="61"/>
      <c r="BF15" s="61"/>
      <c r="BG15" s="61"/>
      <c r="BH15" s="61"/>
      <c r="BI15" s="61"/>
      <c r="BJ15" s="61"/>
      <c r="BK15" s="61"/>
      <c r="BL15" s="61"/>
      <c r="BM15" s="61"/>
      <c r="BN15" s="61"/>
      <c r="BO15" s="61"/>
      <c r="BP15" s="61"/>
      <c r="BQ15" s="61"/>
      <c r="BR15" s="61"/>
      <c r="BS15" s="61"/>
      <c r="BT15" s="307">
        <f t="shared" si="0"/>
        <v>9761.8</v>
      </c>
    </row>
    <row r="16" spans="1:72" ht="12.75">
      <c r="A16" s="184" t="s">
        <v>412</v>
      </c>
      <c r="B16" s="61"/>
      <c r="C16" s="61"/>
      <c r="D16" s="61"/>
      <c r="E16" s="61"/>
      <c r="F16" s="61"/>
      <c r="G16" s="61"/>
      <c r="H16" s="61"/>
      <c r="I16" s="61"/>
      <c r="J16" s="61"/>
      <c r="K16" s="61"/>
      <c r="L16" s="61"/>
      <c r="M16" s="61"/>
      <c r="N16" s="61"/>
      <c r="O16" s="61"/>
      <c r="P16" s="61"/>
      <c r="Q16" s="61"/>
      <c r="R16" s="61">
        <v>975</v>
      </c>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307">
        <f t="shared" si="0"/>
        <v>975</v>
      </c>
    </row>
    <row r="17" spans="1:72" ht="12.75">
      <c r="A17" s="184" t="s">
        <v>413</v>
      </c>
      <c r="B17" s="61"/>
      <c r="C17" s="61"/>
      <c r="D17" s="61"/>
      <c r="E17" s="61">
        <v>3749</v>
      </c>
      <c r="F17" s="61">
        <v>3207</v>
      </c>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307">
        <f t="shared" si="0"/>
        <v>6956</v>
      </c>
    </row>
    <row r="18" spans="1:72" ht="12.75">
      <c r="A18" s="184" t="s">
        <v>414</v>
      </c>
      <c r="B18" s="61"/>
      <c r="C18" s="61"/>
      <c r="D18" s="61">
        <f>3830.6+3546.1</f>
        <v>7376.7</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v>2000</v>
      </c>
      <c r="BH18" s="61"/>
      <c r="BI18" s="61"/>
      <c r="BJ18" s="61"/>
      <c r="BK18" s="61"/>
      <c r="BL18" s="61"/>
      <c r="BM18" s="61"/>
      <c r="BN18" s="61"/>
      <c r="BO18" s="61"/>
      <c r="BP18" s="61"/>
      <c r="BQ18" s="61"/>
      <c r="BR18" s="61"/>
      <c r="BS18" s="61"/>
      <c r="BT18" s="307">
        <f t="shared" si="0"/>
        <v>9376.7</v>
      </c>
    </row>
    <row r="19" spans="1:72" ht="12.75">
      <c r="A19" s="184" t="s">
        <v>1039</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307">
        <f t="shared" si="0"/>
        <v>0</v>
      </c>
    </row>
    <row r="20" spans="1:72" ht="12.75">
      <c r="A20" s="184" t="s">
        <v>416</v>
      </c>
      <c r="B20" s="61"/>
      <c r="C20" s="61"/>
      <c r="D20" s="61"/>
      <c r="E20" s="61"/>
      <c r="F20" s="61"/>
      <c r="G20" s="61"/>
      <c r="H20" s="61"/>
      <c r="I20" s="61"/>
      <c r="J20" s="61"/>
      <c r="K20" s="61"/>
      <c r="L20" s="61"/>
      <c r="M20" s="61"/>
      <c r="N20" s="61"/>
      <c r="O20" s="61"/>
      <c r="P20" s="61"/>
      <c r="Q20" s="61"/>
      <c r="R20" s="61"/>
      <c r="S20" s="61"/>
      <c r="T20" s="61">
        <v>650</v>
      </c>
      <c r="U20" s="61"/>
      <c r="V20" s="61"/>
      <c r="W20" s="61"/>
      <c r="X20" s="61"/>
      <c r="Y20" s="61"/>
      <c r="Z20" s="61"/>
      <c r="AA20" s="61"/>
      <c r="AB20" s="61"/>
      <c r="AC20" s="61"/>
      <c r="AD20" s="61"/>
      <c r="AE20" s="61"/>
      <c r="AF20" s="61"/>
      <c r="AG20" s="61"/>
      <c r="AH20" s="61"/>
      <c r="AI20" s="61"/>
      <c r="AJ20" s="61">
        <v>295</v>
      </c>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307">
        <f t="shared" si="0"/>
        <v>945</v>
      </c>
    </row>
    <row r="21" spans="1:72" ht="12.75">
      <c r="A21" s="184" t="s">
        <v>431</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v>127.7</v>
      </c>
      <c r="BI21" s="61"/>
      <c r="BJ21" s="61"/>
      <c r="BK21" s="61"/>
      <c r="BL21" s="61"/>
      <c r="BM21" s="61"/>
      <c r="BN21" s="61"/>
      <c r="BO21" s="61"/>
      <c r="BP21" s="61"/>
      <c r="BQ21" s="61"/>
      <c r="BR21" s="61"/>
      <c r="BS21" s="61"/>
      <c r="BT21" s="307">
        <f t="shared" si="0"/>
        <v>127.7</v>
      </c>
    </row>
    <row r="22" spans="1:72" ht="12.75">
      <c r="A22" s="184" t="s">
        <v>417</v>
      </c>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v>25509.9</v>
      </c>
      <c r="BG22" s="61"/>
      <c r="BH22" s="61"/>
      <c r="BI22" s="61"/>
      <c r="BJ22" s="61"/>
      <c r="BK22" s="61"/>
      <c r="BL22" s="61"/>
      <c r="BM22" s="61"/>
      <c r="BN22" s="61"/>
      <c r="BO22" s="61"/>
      <c r="BP22" s="61"/>
      <c r="BQ22" s="61"/>
      <c r="BR22" s="61"/>
      <c r="BS22" s="61"/>
      <c r="BT22" s="307">
        <f t="shared" si="0"/>
        <v>25509.9</v>
      </c>
    </row>
    <row r="23" spans="1:72" ht="12.75">
      <c r="A23" s="184" t="s">
        <v>418</v>
      </c>
      <c r="B23" s="61"/>
      <c r="C23" s="61"/>
      <c r="D23" s="61"/>
      <c r="E23" s="61"/>
      <c r="F23" s="61"/>
      <c r="G23" s="61"/>
      <c r="H23" s="61"/>
      <c r="I23" s="61"/>
      <c r="J23" s="61"/>
      <c r="K23" s="61"/>
      <c r="L23" s="61"/>
      <c r="M23" s="61"/>
      <c r="N23" s="61">
        <v>1138.7</v>
      </c>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307">
        <f t="shared" si="0"/>
        <v>1138.7</v>
      </c>
    </row>
    <row r="24" spans="1:72" ht="12.75" hidden="1">
      <c r="A24" s="184" t="s">
        <v>547</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307">
        <f t="shared" si="0"/>
        <v>0</v>
      </c>
    </row>
    <row r="25" spans="1:72" ht="12.75">
      <c r="A25" s="184" t="s">
        <v>419</v>
      </c>
      <c r="B25" s="61"/>
      <c r="C25" s="61"/>
      <c r="D25" s="61"/>
      <c r="E25" s="61"/>
      <c r="F25" s="61"/>
      <c r="G25" s="61"/>
      <c r="H25" s="61">
        <f>75613.9-1381.8</f>
        <v>74232.09999999999</v>
      </c>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v>1381.8</v>
      </c>
      <c r="AI25" s="61"/>
      <c r="AJ25" s="61"/>
      <c r="AK25" s="61"/>
      <c r="AL25" s="61"/>
      <c r="AM25" s="61"/>
      <c r="AN25" s="61"/>
      <c r="AO25" s="61"/>
      <c r="AP25" s="61"/>
      <c r="AQ25" s="61"/>
      <c r="AR25" s="61"/>
      <c r="AS25" s="61"/>
      <c r="AT25" s="61"/>
      <c r="AU25" s="61"/>
      <c r="AV25" s="61">
        <v>136.735</v>
      </c>
      <c r="AW25" s="61"/>
      <c r="AX25" s="61"/>
      <c r="AY25" s="61">
        <v>529.3</v>
      </c>
      <c r="AZ25" s="61"/>
      <c r="BA25" s="61"/>
      <c r="BB25" s="61"/>
      <c r="BC25" s="61"/>
      <c r="BD25" s="61"/>
      <c r="BE25" s="61"/>
      <c r="BF25" s="61"/>
      <c r="BG25" s="61"/>
      <c r="BH25" s="61"/>
      <c r="BI25" s="61"/>
      <c r="BJ25" s="61"/>
      <c r="BK25" s="61"/>
      <c r="BL25" s="61"/>
      <c r="BM25" s="61"/>
      <c r="BN25" s="61"/>
      <c r="BO25" s="61"/>
      <c r="BP25" s="61"/>
      <c r="BQ25" s="61"/>
      <c r="BR25" s="61"/>
      <c r="BS25" s="61"/>
      <c r="BT25" s="307">
        <f t="shared" si="0"/>
        <v>76279.935</v>
      </c>
    </row>
    <row r="26" spans="1:72" ht="12.75">
      <c r="A26" s="184" t="s">
        <v>420</v>
      </c>
      <c r="B26" s="61"/>
      <c r="C26" s="61"/>
      <c r="D26" s="61"/>
      <c r="E26" s="61"/>
      <c r="F26" s="61"/>
      <c r="G26" s="61"/>
      <c r="H26" s="61">
        <v>30707.6</v>
      </c>
      <c r="I26" s="61">
        <f>478.5+451.5+21152.5+1689.6+773.5+3631.7</f>
        <v>28177.3</v>
      </c>
      <c r="J26" s="61">
        <f>478.4+451.4+40058.4+1216.7+773.5+3631.7</f>
        <v>46610.1</v>
      </c>
      <c r="K26" s="61"/>
      <c r="L26" s="61"/>
      <c r="M26" s="61"/>
      <c r="N26" s="61"/>
      <c r="O26" s="61"/>
      <c r="P26" s="61"/>
      <c r="Q26" s="61"/>
      <c r="R26" s="61"/>
      <c r="S26" s="61"/>
      <c r="T26" s="61"/>
      <c r="U26" s="61"/>
      <c r="V26" s="61"/>
      <c r="W26" s="61"/>
      <c r="X26" s="61"/>
      <c r="Y26" s="61"/>
      <c r="Z26" s="61"/>
      <c r="AA26" s="61"/>
      <c r="AB26" s="61"/>
      <c r="AC26" s="61"/>
      <c r="AD26" s="61"/>
      <c r="AE26" s="61"/>
      <c r="AF26" s="61"/>
      <c r="AG26" s="61"/>
      <c r="AH26" s="61">
        <v>3716</v>
      </c>
      <c r="AI26" s="61"/>
      <c r="AJ26" s="61"/>
      <c r="AK26" s="61"/>
      <c r="AL26" s="61"/>
      <c r="AM26" s="61"/>
      <c r="AN26" s="61"/>
      <c r="AO26" s="61"/>
      <c r="AP26" s="61"/>
      <c r="AQ26" s="61"/>
      <c r="AR26" s="61"/>
      <c r="AS26" s="61"/>
      <c r="AT26" s="61"/>
      <c r="AU26" s="61"/>
      <c r="AV26" s="61">
        <v>754.775</v>
      </c>
      <c r="AW26" s="61">
        <v>2524.7</v>
      </c>
      <c r="AX26" s="61"/>
      <c r="AY26" s="61">
        <v>13221</v>
      </c>
      <c r="AZ26" s="61">
        <v>599505.5</v>
      </c>
      <c r="BA26" s="61"/>
      <c r="BB26" s="61"/>
      <c r="BC26" s="61"/>
      <c r="BD26" s="61"/>
      <c r="BE26" s="61"/>
      <c r="BF26" s="61"/>
      <c r="BG26" s="61"/>
      <c r="BH26" s="61"/>
      <c r="BI26" s="61"/>
      <c r="BJ26" s="61"/>
      <c r="BK26" s="61"/>
      <c r="BL26" s="61"/>
      <c r="BM26" s="61"/>
      <c r="BN26" s="61"/>
      <c r="BO26" s="61"/>
      <c r="BP26" s="61"/>
      <c r="BQ26" s="61"/>
      <c r="BR26" s="61"/>
      <c r="BS26" s="61"/>
      <c r="BT26" s="307">
        <f t="shared" si="0"/>
        <v>725216.975</v>
      </c>
    </row>
    <row r="27" spans="1:72" ht="12.75">
      <c r="A27" s="184" t="s">
        <v>484</v>
      </c>
      <c r="B27" s="61"/>
      <c r="C27" s="61"/>
      <c r="D27" s="61"/>
      <c r="E27" s="61"/>
      <c r="F27" s="61"/>
      <c r="G27" s="61"/>
      <c r="H27" s="61"/>
      <c r="I27" s="61"/>
      <c r="J27" s="61"/>
      <c r="K27" s="61">
        <f>47553.6-713.5-488.3+2248.3</f>
        <v>48600.1</v>
      </c>
      <c r="L27" s="61"/>
      <c r="M27" s="61">
        <f>488.3</f>
        <v>488.3</v>
      </c>
      <c r="N27" s="61"/>
      <c r="O27" s="61"/>
      <c r="P27" s="61"/>
      <c r="Q27" s="61"/>
      <c r="R27" s="61"/>
      <c r="S27" s="61"/>
      <c r="T27" s="61"/>
      <c r="U27" s="61"/>
      <c r="V27" s="61"/>
      <c r="W27" s="61"/>
      <c r="X27" s="61"/>
      <c r="Y27" s="61"/>
      <c r="Z27" s="61"/>
      <c r="AA27" s="61"/>
      <c r="AB27" s="61"/>
      <c r="AC27" s="61"/>
      <c r="AD27" s="61"/>
      <c r="AE27" s="61"/>
      <c r="AF27" s="61"/>
      <c r="AG27" s="61"/>
      <c r="AH27" s="61">
        <v>713.5</v>
      </c>
      <c r="AI27" s="61"/>
      <c r="AJ27" s="61"/>
      <c r="AK27" s="61"/>
      <c r="AL27" s="61"/>
      <c r="AM27" s="61"/>
      <c r="AN27" s="61"/>
      <c r="AO27" s="61"/>
      <c r="AP27" s="61"/>
      <c r="AQ27" s="61"/>
      <c r="AR27" s="61"/>
      <c r="AS27" s="61"/>
      <c r="AT27" s="61"/>
      <c r="AU27" s="61"/>
      <c r="AV27" s="61">
        <v>46.49</v>
      </c>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307">
        <f t="shared" si="0"/>
        <v>49848.39</v>
      </c>
    </row>
    <row r="28" spans="1:72" ht="12.75">
      <c r="A28" s="184" t="s">
        <v>421</v>
      </c>
      <c r="B28" s="61"/>
      <c r="C28" s="61"/>
      <c r="D28" s="61"/>
      <c r="E28" s="61"/>
      <c r="F28" s="61"/>
      <c r="G28" s="61"/>
      <c r="H28" s="61"/>
      <c r="I28" s="61"/>
      <c r="J28" s="61"/>
      <c r="K28" s="61"/>
      <c r="L28" s="61">
        <f>2850.6+4970.7</f>
        <v>7821.299999999999</v>
      </c>
      <c r="M28" s="61"/>
      <c r="N28" s="61"/>
      <c r="O28" s="61"/>
      <c r="P28" s="61"/>
      <c r="Q28" s="61"/>
      <c r="R28" s="61"/>
      <c r="S28" s="61"/>
      <c r="T28" s="61"/>
      <c r="U28" s="61"/>
      <c r="V28" s="61"/>
      <c r="W28" s="61">
        <v>300</v>
      </c>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307">
        <f t="shared" si="0"/>
        <v>8121.299999999999</v>
      </c>
    </row>
    <row r="29" spans="1:72" ht="12.75">
      <c r="A29" s="184" t="s">
        <v>422</v>
      </c>
      <c r="B29" s="61"/>
      <c r="C29" s="61"/>
      <c r="D29" s="61"/>
      <c r="E29" s="61"/>
      <c r="F29" s="61"/>
      <c r="G29" s="61"/>
      <c r="H29" s="61"/>
      <c r="I29" s="61"/>
      <c r="J29" s="61"/>
      <c r="K29" s="61"/>
      <c r="L29" s="61"/>
      <c r="M29" s="61">
        <v>319.4</v>
      </c>
      <c r="N29" s="61"/>
      <c r="O29" s="61"/>
      <c r="P29" s="61"/>
      <c r="Q29" s="61"/>
      <c r="R29" s="61"/>
      <c r="S29" s="61"/>
      <c r="T29" s="61"/>
      <c r="U29" s="61"/>
      <c r="V29" s="61"/>
      <c r="W29" s="61"/>
      <c r="X29" s="61"/>
      <c r="Y29" s="61"/>
      <c r="Z29" s="61"/>
      <c r="AA29" s="61"/>
      <c r="AB29" s="61">
        <v>5405.8</v>
      </c>
      <c r="AC29" s="61">
        <v>11885.6</v>
      </c>
      <c r="AD29" s="61"/>
      <c r="AE29" s="61"/>
      <c r="AF29" s="61"/>
      <c r="AG29" s="61"/>
      <c r="AH29" s="61">
        <v>250</v>
      </c>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307">
        <f t="shared" si="0"/>
        <v>17860.8</v>
      </c>
    </row>
    <row r="30" spans="1:72" s="185" customFormat="1" ht="12.75">
      <c r="A30" s="184" t="s">
        <v>423</v>
      </c>
      <c r="B30" s="61"/>
      <c r="C30" s="61"/>
      <c r="D30" s="61"/>
      <c r="E30" s="61"/>
      <c r="F30" s="61"/>
      <c r="G30" s="61"/>
      <c r="H30" s="61"/>
      <c r="I30" s="61"/>
      <c r="J30" s="61"/>
      <c r="K30" s="61"/>
      <c r="L30" s="61"/>
      <c r="M30" s="61"/>
      <c r="N30" s="61"/>
      <c r="O30" s="61"/>
      <c r="P30" s="61"/>
      <c r="Q30" s="61">
        <f>2186.9+1818.4</f>
        <v>4005.3</v>
      </c>
      <c r="R30" s="61"/>
      <c r="S30" s="61"/>
      <c r="T30" s="61"/>
      <c r="U30" s="61"/>
      <c r="V30" s="61"/>
      <c r="W30" s="61"/>
      <c r="X30" s="61">
        <f>8447.3</f>
        <v>8447.3</v>
      </c>
      <c r="Y30" s="61">
        <v>15544.1</v>
      </c>
      <c r="Z30" s="61">
        <f>5841.9+2086.1+3930+7196.8+3532+23281.4</f>
        <v>45868.2</v>
      </c>
      <c r="AA30" s="61"/>
      <c r="AB30" s="61"/>
      <c r="AC30" s="61"/>
      <c r="AD30" s="61"/>
      <c r="AE30" s="61"/>
      <c r="AF30" s="61"/>
      <c r="AG30" s="61"/>
      <c r="AH30" s="61">
        <v>600</v>
      </c>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307">
        <f t="shared" si="0"/>
        <v>74464.9</v>
      </c>
    </row>
    <row r="31" spans="1:72" ht="12.75">
      <c r="A31" s="184" t="s">
        <v>424</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v>3013.9</v>
      </c>
      <c r="AC31" s="61">
        <v>6448.8</v>
      </c>
      <c r="AD31" s="61"/>
      <c r="AE31" s="61"/>
      <c r="AF31" s="61"/>
      <c r="AG31" s="61"/>
      <c r="AH31" s="61">
        <v>410</v>
      </c>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307">
        <f t="shared" si="0"/>
        <v>9872.7</v>
      </c>
    </row>
    <row r="32" spans="1:72" ht="12.75">
      <c r="A32" s="184" t="s">
        <v>425</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f>200+1079.4+693.5+1000+1500</f>
        <v>4472.9</v>
      </c>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307">
        <f t="shared" si="0"/>
        <v>4472.9</v>
      </c>
    </row>
    <row r="33" spans="1:72" ht="12.75">
      <c r="A33" s="184" t="s">
        <v>407</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v>816.5</v>
      </c>
      <c r="AQ33" s="61"/>
      <c r="AR33" s="61">
        <v>1980</v>
      </c>
      <c r="AS33" s="61"/>
      <c r="AT33" s="61"/>
      <c r="AU33" s="61"/>
      <c r="AV33" s="61"/>
      <c r="AW33" s="61">
        <v>14266</v>
      </c>
      <c r="AX33" s="61"/>
      <c r="AY33" s="61"/>
      <c r="AZ33" s="61"/>
      <c r="BA33" s="61"/>
      <c r="BB33" s="61"/>
      <c r="BC33" s="61"/>
      <c r="BD33" s="61">
        <v>41464.1</v>
      </c>
      <c r="BE33" s="61"/>
      <c r="BF33" s="61"/>
      <c r="BG33" s="61"/>
      <c r="BH33" s="61"/>
      <c r="BI33" s="61"/>
      <c r="BJ33" s="61"/>
      <c r="BK33" s="61"/>
      <c r="BL33" s="61"/>
      <c r="BM33" s="61"/>
      <c r="BN33" s="61"/>
      <c r="BO33" s="61"/>
      <c r="BP33" s="61"/>
      <c r="BQ33" s="61"/>
      <c r="BR33" s="61"/>
      <c r="BS33" s="61"/>
      <c r="BT33" s="307">
        <f t="shared" si="0"/>
        <v>58526.6</v>
      </c>
    </row>
    <row r="34" spans="1:72" ht="12.75">
      <c r="A34" s="184" t="s">
        <v>415</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v>2.8</v>
      </c>
      <c r="AL34" s="61"/>
      <c r="AM34" s="61"/>
      <c r="AN34" s="61"/>
      <c r="AO34" s="61"/>
      <c r="AP34" s="61"/>
      <c r="AQ34" s="61"/>
      <c r="AR34" s="61"/>
      <c r="AS34" s="61">
        <v>5.58384</v>
      </c>
      <c r="AT34" s="61">
        <v>12.91616</v>
      </c>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307">
        <f t="shared" si="0"/>
        <v>21.299999999999997</v>
      </c>
    </row>
    <row r="35" spans="1:72" ht="12.75">
      <c r="A35" s="184" t="s">
        <v>400</v>
      </c>
      <c r="B35" s="61"/>
      <c r="C35" s="61"/>
      <c r="D35" s="61"/>
      <c r="E35" s="61"/>
      <c r="F35" s="61"/>
      <c r="G35" s="61"/>
      <c r="H35" s="61"/>
      <c r="I35" s="61"/>
      <c r="J35" s="61"/>
      <c r="K35" s="61"/>
      <c r="L35" s="61"/>
      <c r="M35" s="61"/>
      <c r="N35" s="61"/>
      <c r="O35" s="61"/>
      <c r="P35" s="61"/>
      <c r="Q35" s="61"/>
      <c r="R35" s="61"/>
      <c r="S35" s="61"/>
      <c r="T35" s="61"/>
      <c r="U35" s="61">
        <f>4803.2+5521.9</f>
        <v>10325.099999999999</v>
      </c>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307">
        <f t="shared" si="0"/>
        <v>10325.099999999999</v>
      </c>
    </row>
    <row r="36" spans="1:72" ht="12.75">
      <c r="A36" s="184" t="s">
        <v>426</v>
      </c>
      <c r="B36" s="61"/>
      <c r="C36" s="61"/>
      <c r="D36" s="61"/>
      <c r="E36" s="61"/>
      <c r="F36" s="61"/>
      <c r="G36" s="61"/>
      <c r="H36" s="61"/>
      <c r="I36" s="61"/>
      <c r="J36" s="61"/>
      <c r="K36" s="61"/>
      <c r="L36" s="61"/>
      <c r="M36" s="61"/>
      <c r="N36" s="61"/>
      <c r="O36" s="61"/>
      <c r="P36" s="61"/>
      <c r="Q36" s="61"/>
      <c r="R36" s="61"/>
      <c r="S36" s="61"/>
      <c r="T36" s="61"/>
      <c r="U36" s="61"/>
      <c r="V36" s="61">
        <f>512.6+3301.7+900</f>
        <v>4714.299999999999</v>
      </c>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307">
        <f t="shared" si="0"/>
        <v>4714.299999999999</v>
      </c>
    </row>
    <row r="37" spans="1:72" ht="12.75" customHeight="1">
      <c r="A37" s="184" t="s">
        <v>47</v>
      </c>
      <c r="B37" s="61"/>
      <c r="C37" s="61"/>
      <c r="D37" s="61"/>
      <c r="E37" s="61"/>
      <c r="F37" s="61"/>
      <c r="G37" s="61"/>
      <c r="H37" s="61"/>
      <c r="I37" s="61"/>
      <c r="J37" s="61"/>
      <c r="K37" s="61"/>
      <c r="L37" s="61"/>
      <c r="M37" s="61"/>
      <c r="N37" s="61"/>
      <c r="O37" s="61"/>
      <c r="P37" s="61"/>
      <c r="Q37" s="61"/>
      <c r="R37" s="61"/>
      <c r="S37" s="61"/>
      <c r="T37" s="61"/>
      <c r="U37" s="61"/>
      <c r="V37" s="61">
        <f>8.5+219.3</f>
        <v>227.8</v>
      </c>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307">
        <f t="shared" si="0"/>
        <v>227.8</v>
      </c>
    </row>
    <row r="38" spans="1:72" ht="12.75">
      <c r="A38" s="184" t="s">
        <v>427</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v>354</v>
      </c>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307">
        <f t="shared" si="0"/>
        <v>354</v>
      </c>
    </row>
    <row r="39" spans="1:72" ht="12.75">
      <c r="A39" s="184" t="s">
        <v>50</v>
      </c>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v>61142.2</v>
      </c>
      <c r="BB39" s="61"/>
      <c r="BC39" s="61"/>
      <c r="BD39" s="61"/>
      <c r="BE39" s="61"/>
      <c r="BF39" s="61"/>
      <c r="BG39" s="61"/>
      <c r="BH39" s="61"/>
      <c r="BI39" s="61"/>
      <c r="BJ39" s="61"/>
      <c r="BK39" s="61"/>
      <c r="BL39" s="61"/>
      <c r="BM39" s="61"/>
      <c r="BN39" s="61"/>
      <c r="BO39" s="61"/>
      <c r="BP39" s="61"/>
      <c r="BQ39" s="61"/>
      <c r="BR39" s="61"/>
      <c r="BS39" s="61"/>
      <c r="BT39" s="307">
        <f t="shared" si="0"/>
        <v>61142.2</v>
      </c>
    </row>
    <row r="40" spans="1:72" ht="12.75">
      <c r="A40" s="184" t="s">
        <v>51</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v>56184.5</v>
      </c>
      <c r="BS40" s="61"/>
      <c r="BT40" s="307">
        <f t="shared" si="0"/>
        <v>56184.5</v>
      </c>
    </row>
    <row r="41" spans="1:72" s="185" customFormat="1" ht="12.75">
      <c r="A41" s="184" t="s">
        <v>428</v>
      </c>
      <c r="B41" s="61">
        <f>SUM(B3:B40)</f>
        <v>2890</v>
      </c>
      <c r="C41" s="61">
        <f aca="true" t="shared" si="1" ref="C41:BN41">SUM(C3:C40)</f>
        <v>0</v>
      </c>
      <c r="D41" s="61">
        <f t="shared" si="1"/>
        <v>7376.7</v>
      </c>
      <c r="E41" s="61">
        <f t="shared" si="1"/>
        <v>3749</v>
      </c>
      <c r="F41" s="61">
        <f t="shared" si="1"/>
        <v>3207</v>
      </c>
      <c r="G41" s="61">
        <f t="shared" si="1"/>
        <v>479.6</v>
      </c>
      <c r="H41" s="61">
        <f t="shared" si="1"/>
        <v>104939.69999999998</v>
      </c>
      <c r="I41" s="61">
        <f t="shared" si="1"/>
        <v>28177.3</v>
      </c>
      <c r="J41" s="61">
        <f t="shared" si="1"/>
        <v>46610.1</v>
      </c>
      <c r="K41" s="61">
        <f t="shared" si="1"/>
        <v>48600.1</v>
      </c>
      <c r="L41" s="61">
        <f t="shared" si="1"/>
        <v>7821.299999999999</v>
      </c>
      <c r="M41" s="61">
        <f t="shared" si="1"/>
        <v>807.7</v>
      </c>
      <c r="N41" s="61">
        <f t="shared" si="1"/>
        <v>1138.7</v>
      </c>
      <c r="O41" s="61">
        <f t="shared" si="1"/>
        <v>0</v>
      </c>
      <c r="P41" s="61">
        <f t="shared" si="1"/>
        <v>2511.3</v>
      </c>
      <c r="Q41" s="61">
        <f t="shared" si="1"/>
        <v>4005.3</v>
      </c>
      <c r="R41" s="61">
        <f t="shared" si="1"/>
        <v>975</v>
      </c>
      <c r="S41" s="61">
        <f t="shared" si="1"/>
        <v>374</v>
      </c>
      <c r="T41" s="61">
        <f t="shared" si="1"/>
        <v>650</v>
      </c>
      <c r="U41" s="61">
        <f t="shared" si="1"/>
        <v>10325.099999999999</v>
      </c>
      <c r="V41" s="61">
        <f t="shared" si="1"/>
        <v>4942.099999999999</v>
      </c>
      <c r="W41" s="61">
        <f t="shared" si="1"/>
        <v>300</v>
      </c>
      <c r="X41" s="61">
        <f t="shared" si="1"/>
        <v>8447.3</v>
      </c>
      <c r="Y41" s="61">
        <f t="shared" si="1"/>
        <v>15544.1</v>
      </c>
      <c r="Z41" s="61">
        <f t="shared" si="1"/>
        <v>45868.2</v>
      </c>
      <c r="AA41" s="61">
        <f t="shared" si="1"/>
        <v>0</v>
      </c>
      <c r="AB41" s="61">
        <f t="shared" si="1"/>
        <v>35590</v>
      </c>
      <c r="AC41" s="61">
        <f t="shared" si="1"/>
        <v>64156.9</v>
      </c>
      <c r="AD41" s="61">
        <f t="shared" si="1"/>
        <v>354</v>
      </c>
      <c r="AE41" s="61">
        <f t="shared" si="1"/>
        <v>910</v>
      </c>
      <c r="AF41" s="61">
        <f t="shared" si="1"/>
        <v>11169.400000000001</v>
      </c>
      <c r="AG41" s="61">
        <f t="shared" si="1"/>
        <v>0</v>
      </c>
      <c r="AH41" s="61">
        <f t="shared" si="1"/>
        <v>8995.9</v>
      </c>
      <c r="AI41" s="61">
        <f t="shared" si="1"/>
        <v>2000</v>
      </c>
      <c r="AJ41" s="61">
        <f t="shared" si="1"/>
        <v>295</v>
      </c>
      <c r="AK41" s="61">
        <f t="shared" si="1"/>
        <v>4475.7</v>
      </c>
      <c r="AL41" s="61">
        <f t="shared" si="1"/>
        <v>1330.4</v>
      </c>
      <c r="AM41" s="61">
        <f t="shared" si="1"/>
        <v>153.6</v>
      </c>
      <c r="AN41" s="61">
        <f t="shared" si="1"/>
        <v>180.7</v>
      </c>
      <c r="AO41" s="61">
        <f t="shared" si="1"/>
        <v>0</v>
      </c>
      <c r="AP41" s="61">
        <f t="shared" si="1"/>
        <v>816.5</v>
      </c>
      <c r="AQ41" s="61">
        <f t="shared" si="1"/>
        <v>653.048</v>
      </c>
      <c r="AR41" s="61">
        <f t="shared" si="1"/>
        <v>1980</v>
      </c>
      <c r="AS41" s="61">
        <f t="shared" si="1"/>
        <v>4180.61034</v>
      </c>
      <c r="AT41" s="61">
        <f t="shared" si="1"/>
        <v>9499.489160000001</v>
      </c>
      <c r="AU41" s="61">
        <f t="shared" si="1"/>
        <v>6205.052</v>
      </c>
      <c r="AV41" s="61">
        <f t="shared" si="1"/>
        <v>938</v>
      </c>
      <c r="AW41" s="61">
        <f t="shared" si="1"/>
        <v>16790.7</v>
      </c>
      <c r="AX41" s="61">
        <f t="shared" si="1"/>
        <v>636.2</v>
      </c>
      <c r="AY41" s="61">
        <f t="shared" si="1"/>
        <v>13750.3</v>
      </c>
      <c r="AZ41" s="61">
        <f t="shared" si="1"/>
        <v>599505.5</v>
      </c>
      <c r="BA41" s="61">
        <f t="shared" si="1"/>
        <v>61142.2</v>
      </c>
      <c r="BB41" s="61">
        <f t="shared" si="1"/>
        <v>1344.4</v>
      </c>
      <c r="BC41" s="61">
        <f t="shared" si="1"/>
        <v>0</v>
      </c>
      <c r="BD41" s="61">
        <f t="shared" si="1"/>
        <v>41464.1</v>
      </c>
      <c r="BE41" s="61">
        <f t="shared" si="1"/>
        <v>0</v>
      </c>
      <c r="BF41" s="61">
        <f t="shared" si="1"/>
        <v>25509.9</v>
      </c>
      <c r="BG41" s="61">
        <f t="shared" si="1"/>
        <v>2000</v>
      </c>
      <c r="BH41" s="61">
        <f t="shared" si="1"/>
        <v>127.7</v>
      </c>
      <c r="BI41" s="61">
        <f t="shared" si="1"/>
        <v>0</v>
      </c>
      <c r="BJ41" s="61">
        <f t="shared" si="1"/>
        <v>0</v>
      </c>
      <c r="BK41" s="61">
        <f t="shared" si="1"/>
        <v>0</v>
      </c>
      <c r="BL41" s="61">
        <f t="shared" si="1"/>
        <v>0</v>
      </c>
      <c r="BM41" s="61">
        <f t="shared" si="1"/>
        <v>0</v>
      </c>
      <c r="BN41" s="61">
        <f t="shared" si="1"/>
        <v>0</v>
      </c>
      <c r="BO41" s="61">
        <f aca="true" t="shared" si="2" ref="BO41:BT41">SUM(BO3:BO40)</f>
        <v>0</v>
      </c>
      <c r="BP41" s="61">
        <f t="shared" si="2"/>
        <v>0</v>
      </c>
      <c r="BQ41" s="61">
        <f t="shared" si="2"/>
        <v>0</v>
      </c>
      <c r="BR41" s="61">
        <f t="shared" si="2"/>
        <v>56184.5</v>
      </c>
      <c r="BS41" s="61">
        <f t="shared" si="2"/>
        <v>0</v>
      </c>
      <c r="BT41" s="307">
        <f t="shared" si="2"/>
        <v>1322079.3995000003</v>
      </c>
    </row>
    <row r="42" spans="23:71" ht="12.75">
      <c r="W42" s="188"/>
      <c r="X42" s="188">
        <f>SUM(B41:X41)</f>
        <v>288327.29999999993</v>
      </c>
      <c r="Z42" s="189"/>
      <c r="AA42" s="189">
        <f>Y41+Z41+AA41</f>
        <v>61412.299999999996</v>
      </c>
      <c r="AB42" s="189"/>
      <c r="AC42" s="189"/>
      <c r="AD42" s="189"/>
      <c r="AE42" s="189"/>
      <c r="AF42" s="189"/>
      <c r="AG42" s="189"/>
      <c r="AH42" s="189"/>
      <c r="AI42" s="190">
        <f>AB41+AC41+AD41+AE41+AF41+AG41+AH41+AI41</f>
        <v>123176.19999999998</v>
      </c>
      <c r="AJ42" s="189">
        <f>AJ41</f>
        <v>295</v>
      </c>
      <c r="AK42" s="190"/>
      <c r="AL42" s="190"/>
      <c r="AM42" s="190"/>
      <c r="AN42" s="189">
        <f>AK41+AL41+AM41+AN41</f>
        <v>6140.400000000001</v>
      </c>
      <c r="AQ42" s="189">
        <f>AO41+AP41+AQ41</f>
        <v>1469.548</v>
      </c>
      <c r="AR42" s="189"/>
      <c r="AZ42" s="189">
        <f>AS41+AT41+AU41+AV41+AW41+AX41+AY41+AZ41</f>
        <v>651505.8515</v>
      </c>
      <c r="BD42" s="189">
        <f>BA41+BC41+BD41</f>
        <v>102606.29999999999</v>
      </c>
      <c r="BS42" s="190">
        <f>BE41+BF41+BG41+BH41+BI41+BJ41+BK41+BL41+BM41+BN41+BO41+BQ41+BR41+BS41</f>
        <v>83822.1</v>
      </c>
    </row>
  </sheetData>
  <sheetProtection/>
  <printOptions/>
  <pageMargins left="0.31496062992125984" right="0" top="1.141732283464567" bottom="0.1968503937007874" header="0.31496062992125984" footer="0.31496062992125984"/>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2016-03-29T09:23:23Z</dcterms:created>
  <dcterms:modified xsi:type="dcterms:W3CDTF">2019-06-06T02:36:55Z</dcterms:modified>
  <cp:category/>
  <cp:version/>
  <cp:contentType/>
  <cp:contentStatus/>
</cp:coreProperties>
</file>