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25" yWindow="30" windowWidth="16260" windowHeight="10155"/>
  </bookViews>
  <sheets>
    <sheet name="frmRRO4" sheetId="1" r:id="rId1"/>
    <sheet name="план 2023 (план, факт)" sheetId="9" r:id="rId2"/>
    <sheet name="план 2024" sheetId="10" r:id="rId3"/>
    <sheet name="Лист1" sheetId="8" r:id="rId4"/>
  </sheets>
  <definedNames>
    <definedName name="_xlnm.Print_Titles" localSheetId="0">frmRRO4!$2:$5</definedName>
    <definedName name="_xlnm.Print_Titles" localSheetId="2">'план 2024'!$A:$A</definedName>
  </definedNames>
  <calcPr calcId="125725"/>
  <fileRecoveryPr autoRecover="0"/>
</workbook>
</file>

<file path=xl/calcChain.xml><?xml version="1.0" encoding="utf-8"?>
<calcChain xmlns="http://schemas.openxmlformats.org/spreadsheetml/2006/main">
  <c r="O470" i="1"/>
  <c r="P470"/>
  <c r="Q470"/>
  <c r="R470"/>
  <c r="N470"/>
  <c r="O469"/>
  <c r="P469"/>
  <c r="Q469"/>
  <c r="R469"/>
  <c r="N469"/>
  <c r="O471"/>
  <c r="P471"/>
  <c r="Q471"/>
  <c r="R471"/>
  <c r="N471"/>
  <c r="O503"/>
  <c r="N503"/>
  <c r="Z28" i="10"/>
  <c r="EL35"/>
  <c r="EK35"/>
  <c r="EJ35"/>
  <c r="AE29"/>
  <c r="AD29"/>
  <c r="V27"/>
  <c r="T27"/>
  <c r="K19"/>
  <c r="EF11"/>
  <c r="EE11"/>
  <c r="ED11"/>
  <c r="DT11"/>
  <c r="AT11"/>
  <c r="DH11"/>
  <c r="DF11"/>
  <c r="CT6"/>
  <c r="R428" i="1"/>
  <c r="Q428"/>
  <c r="P428"/>
  <c r="P214"/>
  <c r="P168"/>
  <c r="P139"/>
  <c r="P87"/>
  <c r="R10"/>
  <c r="Q10"/>
  <c r="P10"/>
  <c r="P633"/>
  <c r="P568"/>
  <c r="P307"/>
  <c r="U27" i="10"/>
  <c r="DS11"/>
  <c r="DG11"/>
  <c r="AS11"/>
  <c r="P605" i="1"/>
  <c r="AC29" i="10" l="1"/>
  <c r="AL25"/>
  <c r="AR11"/>
  <c r="DR11"/>
  <c r="EA11"/>
  <c r="P334" i="1" l="1"/>
  <c r="R307"/>
  <c r="Q307"/>
  <c r="P301"/>
  <c r="P194"/>
  <c r="Q139"/>
  <c r="P118"/>
  <c r="P110" s="1"/>
  <c r="Q120"/>
  <c r="O87" l="1"/>
  <c r="N87"/>
  <c r="O58"/>
  <c r="N58"/>
  <c r="EV32" i="10"/>
  <c r="O240" i="1"/>
  <c r="Q240"/>
  <c r="R240"/>
  <c r="N240"/>
  <c r="Q332" l="1"/>
  <c r="R332"/>
  <c r="P332"/>
  <c r="O334"/>
  <c r="O332" s="1"/>
  <c r="N334"/>
  <c r="N332" s="1"/>
  <c r="O328"/>
  <c r="P328"/>
  <c r="Q328"/>
  <c r="R328"/>
  <c r="N328"/>
  <c r="O307"/>
  <c r="N307"/>
  <c r="O181"/>
  <c r="N181"/>
  <c r="O214"/>
  <c r="N214"/>
  <c r="O168"/>
  <c r="N168"/>
  <c r="O139" l="1"/>
  <c r="N139"/>
  <c r="D44" i="10" l="1"/>
  <c r="C44"/>
  <c r="DT44"/>
  <c r="DS44"/>
  <c r="DR44"/>
  <c r="EV6"/>
  <c r="EU44"/>
  <c r="ET44"/>
  <c r="ES44"/>
  <c r="ER44"/>
  <c r="EQ44"/>
  <c r="EP44"/>
  <c r="EO44"/>
  <c r="EN44"/>
  <c r="EM44"/>
  <c r="EJ44"/>
  <c r="EI44"/>
  <c r="EH44"/>
  <c r="EC44"/>
  <c r="EB44"/>
  <c r="EA44"/>
  <c r="DZ44"/>
  <c r="DY44"/>
  <c r="DX44"/>
  <c r="DW44"/>
  <c r="DV44"/>
  <c r="DU44"/>
  <c r="DQ44"/>
  <c r="DP44"/>
  <c r="DO44"/>
  <c r="DN44"/>
  <c r="DM44"/>
  <c r="DL44"/>
  <c r="DK44"/>
  <c r="DJ44"/>
  <c r="DI44"/>
  <c r="DE44"/>
  <c r="DD44"/>
  <c r="DC44"/>
  <c r="DB44"/>
  <c r="DA44"/>
  <c r="CZ44"/>
  <c r="CS44"/>
  <c r="CR44"/>
  <c r="CQ44"/>
  <c r="CP44"/>
  <c r="CO44"/>
  <c r="CN44"/>
  <c r="CM44"/>
  <c r="CL44"/>
  <c r="CK44"/>
  <c r="CJ44"/>
  <c r="CI44"/>
  <c r="CH44"/>
  <c r="CG44"/>
  <c r="CF44"/>
  <c r="CE44"/>
  <c r="CD44"/>
  <c r="CC44"/>
  <c r="CB44"/>
  <c r="CA44"/>
  <c r="BZ44"/>
  <c r="BY44"/>
  <c r="BX44"/>
  <c r="BW44"/>
  <c r="BV44"/>
  <c r="BU44"/>
  <c r="BT44"/>
  <c r="BS44"/>
  <c r="BR44"/>
  <c r="BQ44"/>
  <c r="BP44"/>
  <c r="BO44"/>
  <c r="BN44"/>
  <c r="BM44"/>
  <c r="BL44"/>
  <c r="BK44"/>
  <c r="BJ44"/>
  <c r="BI44"/>
  <c r="BH44"/>
  <c r="BG44"/>
  <c r="BF44"/>
  <c r="BE44"/>
  <c r="BD44"/>
  <c r="BC44"/>
  <c r="BB44"/>
  <c r="BA44"/>
  <c r="AZ44"/>
  <c r="AY44"/>
  <c r="AX44"/>
  <c r="AW44"/>
  <c r="AV44"/>
  <c r="AU44"/>
  <c r="AQ44"/>
  <c r="AP44"/>
  <c r="AO44"/>
  <c r="AN44"/>
  <c r="AL44"/>
  <c r="AK44"/>
  <c r="AJ44"/>
  <c r="AI44"/>
  <c r="AB44"/>
  <c r="AA44"/>
  <c r="Z44"/>
  <c r="Y44"/>
  <c r="X44"/>
  <c r="W44"/>
  <c r="S44"/>
  <c r="R44"/>
  <c r="Q44"/>
  <c r="P44"/>
  <c r="O44"/>
  <c r="N44"/>
  <c r="J44"/>
  <c r="I44"/>
  <c r="H44"/>
  <c r="G44"/>
  <c r="F44"/>
  <c r="E44"/>
  <c r="EX43"/>
  <c r="EW43"/>
  <c r="EV43"/>
  <c r="EX42"/>
  <c r="EW42"/>
  <c r="EV42"/>
  <c r="EX41"/>
  <c r="EW41"/>
  <c r="EV41"/>
  <c r="EX40"/>
  <c r="EW40"/>
  <c r="EV40"/>
  <c r="EX39"/>
  <c r="EW39"/>
  <c r="EV39"/>
  <c r="EX38"/>
  <c r="EW38"/>
  <c r="EV38"/>
  <c r="EX37"/>
  <c r="EW37"/>
  <c r="EV37"/>
  <c r="EX36"/>
  <c r="EW36"/>
  <c r="EV36"/>
  <c r="EX35"/>
  <c r="EW35"/>
  <c r="EV35"/>
  <c r="EL44"/>
  <c r="EK44"/>
  <c r="EX34"/>
  <c r="EW34"/>
  <c r="EV34"/>
  <c r="EX33"/>
  <c r="EW33"/>
  <c r="EV33"/>
  <c r="EX32"/>
  <c r="EW32"/>
  <c r="EX31"/>
  <c r="EW31"/>
  <c r="EV31"/>
  <c r="EX30"/>
  <c r="EW30"/>
  <c r="EV30"/>
  <c r="EX29"/>
  <c r="AE44"/>
  <c r="EW29"/>
  <c r="AC44"/>
  <c r="EX28"/>
  <c r="EW28"/>
  <c r="EV28"/>
  <c r="EV44" s="1"/>
  <c r="EW27"/>
  <c r="EX27"/>
  <c r="U44"/>
  <c r="T44"/>
  <c r="EX26"/>
  <c r="EW26"/>
  <c r="EV26"/>
  <c r="EX25"/>
  <c r="EV25"/>
  <c r="AM44"/>
  <c r="EX24"/>
  <c r="EW24"/>
  <c r="EV24"/>
  <c r="EX23"/>
  <c r="EW23"/>
  <c r="EV23"/>
  <c r="EX22"/>
  <c r="EW22"/>
  <c r="EV22"/>
  <c r="EG44"/>
  <c r="EX21"/>
  <c r="EW21"/>
  <c r="EV21"/>
  <c r="EX20"/>
  <c r="EW20"/>
  <c r="EV20"/>
  <c r="EX19"/>
  <c r="EV19"/>
  <c r="M44"/>
  <c r="L44"/>
  <c r="K44"/>
  <c r="EX18"/>
  <c r="EW18"/>
  <c r="EV18"/>
  <c r="EX17"/>
  <c r="EW17"/>
  <c r="EV17"/>
  <c r="EX16"/>
  <c r="EW16"/>
  <c r="EV16"/>
  <c r="EX15"/>
  <c r="EW15"/>
  <c r="EV15"/>
  <c r="EX14"/>
  <c r="EW14"/>
  <c r="EV14"/>
  <c r="EX13"/>
  <c r="EW13"/>
  <c r="EV13"/>
  <c r="EX12"/>
  <c r="EW12"/>
  <c r="EV12"/>
  <c r="EF44"/>
  <c r="EE44"/>
  <c r="ED44"/>
  <c r="DG44"/>
  <c r="DF44"/>
  <c r="AS44"/>
  <c r="AR44"/>
  <c r="EX10"/>
  <c r="EW10"/>
  <c r="EV10"/>
  <c r="EX9"/>
  <c r="EW9"/>
  <c r="EV9"/>
  <c r="EW8"/>
  <c r="CY44"/>
  <c r="CX44"/>
  <c r="EV8"/>
  <c r="CV44"/>
  <c r="CU44"/>
  <c r="EX7"/>
  <c r="EW7"/>
  <c r="EV7"/>
  <c r="EX6"/>
  <c r="EW6"/>
  <c r="EX5"/>
  <c r="EW5"/>
  <c r="EV5"/>
  <c r="EX4"/>
  <c r="EW4"/>
  <c r="EV4"/>
  <c r="O621" i="1"/>
  <c r="P621"/>
  <c r="Q621"/>
  <c r="R621"/>
  <c r="N621"/>
  <c r="O605"/>
  <c r="N605"/>
  <c r="P360"/>
  <c r="Q360"/>
  <c r="R360"/>
  <c r="O258"/>
  <c r="P258"/>
  <c r="Q258"/>
  <c r="R258"/>
  <c r="N258"/>
  <c r="BU10" i="9"/>
  <c r="BU42" s="1"/>
  <c r="FL4"/>
  <c r="FM4"/>
  <c r="FL5"/>
  <c r="FM5"/>
  <c r="FL6"/>
  <c r="FM6"/>
  <c r="FL7"/>
  <c r="FM7"/>
  <c r="FL8"/>
  <c r="FM8"/>
  <c r="FL9"/>
  <c r="FM9"/>
  <c r="FL10"/>
  <c r="FL11"/>
  <c r="FM11"/>
  <c r="FL12"/>
  <c r="FM12"/>
  <c r="FL13"/>
  <c r="FM13"/>
  <c r="FL14"/>
  <c r="FM14"/>
  <c r="FL15"/>
  <c r="FM15"/>
  <c r="FL16"/>
  <c r="FM16"/>
  <c r="FL17"/>
  <c r="FM17"/>
  <c r="FL18"/>
  <c r="FM18"/>
  <c r="FL19"/>
  <c r="FM19"/>
  <c r="FL20"/>
  <c r="FM20"/>
  <c r="FL21"/>
  <c r="FM21"/>
  <c r="FL22"/>
  <c r="FM22"/>
  <c r="FL23"/>
  <c r="FM23"/>
  <c r="FL24"/>
  <c r="FM24"/>
  <c r="FL25"/>
  <c r="FM25"/>
  <c r="FL26"/>
  <c r="FM26"/>
  <c r="FL27"/>
  <c r="FM27"/>
  <c r="FL28"/>
  <c r="FM28"/>
  <c r="FL29"/>
  <c r="FM29"/>
  <c r="FL30"/>
  <c r="FM30"/>
  <c r="FL31"/>
  <c r="FM31"/>
  <c r="FL32"/>
  <c r="FM32"/>
  <c r="FL33"/>
  <c r="FM33"/>
  <c r="FL34"/>
  <c r="FM34"/>
  <c r="FL35"/>
  <c r="FM35"/>
  <c r="FL36"/>
  <c r="FM36"/>
  <c r="FL37"/>
  <c r="FM37"/>
  <c r="FL38"/>
  <c r="FM38"/>
  <c r="FL39"/>
  <c r="FM39"/>
  <c r="FL40"/>
  <c r="FM40"/>
  <c r="FL41"/>
  <c r="FM41"/>
  <c r="FM3"/>
  <c r="FL3"/>
  <c r="BO32"/>
  <c r="BN32"/>
  <c r="BM32"/>
  <c r="BL32"/>
  <c r="BO30"/>
  <c r="BN30"/>
  <c r="BM30"/>
  <c r="BL30"/>
  <c r="U27"/>
  <c r="T27"/>
  <c r="T42"/>
  <c r="O25"/>
  <c r="N25"/>
  <c r="N42" s="1"/>
  <c r="P42"/>
  <c r="AC10"/>
  <c r="AB10"/>
  <c r="C10"/>
  <c r="B10"/>
  <c r="CI10"/>
  <c r="CH10"/>
  <c r="CH42" s="1"/>
  <c r="CI42"/>
  <c r="BT10"/>
  <c r="BO7"/>
  <c r="BN7"/>
  <c r="BM7"/>
  <c r="BL7"/>
  <c r="BO5"/>
  <c r="BO42" s="1"/>
  <c r="BN5"/>
  <c r="BN42" s="1"/>
  <c r="BM5"/>
  <c r="BL5"/>
  <c r="BO3"/>
  <c r="BN3"/>
  <c r="BM3"/>
  <c r="BL3"/>
  <c r="FK42"/>
  <c r="FJ42"/>
  <c r="FI42"/>
  <c r="FH42"/>
  <c r="FG42"/>
  <c r="FF42"/>
  <c r="FE42"/>
  <c r="FD42"/>
  <c r="FC42"/>
  <c r="FB42"/>
  <c r="FA42"/>
  <c r="EZ42"/>
  <c r="EY42"/>
  <c r="EX42"/>
  <c r="EW42"/>
  <c r="EV42"/>
  <c r="EU42"/>
  <c r="ET42"/>
  <c r="ES42"/>
  <c r="ER42"/>
  <c r="EQ42"/>
  <c r="EP42"/>
  <c r="EO42"/>
  <c r="EN42"/>
  <c r="EM42"/>
  <c r="EL42"/>
  <c r="EK42"/>
  <c r="EJ42"/>
  <c r="EI42"/>
  <c r="EH42"/>
  <c r="EG42"/>
  <c r="EF42"/>
  <c r="EE42"/>
  <c r="ED42"/>
  <c r="EC42"/>
  <c r="EB42"/>
  <c r="EA42"/>
  <c r="DZ42"/>
  <c r="DY42"/>
  <c r="DX42"/>
  <c r="DW42"/>
  <c r="FK44" s="1"/>
  <c r="DV42"/>
  <c r="FJ44" s="1"/>
  <c r="DU42"/>
  <c r="DT42"/>
  <c r="DS42"/>
  <c r="FK43" s="1"/>
  <c r="DR42"/>
  <c r="FJ43" s="1"/>
  <c r="DQ42"/>
  <c r="DU43" s="1"/>
  <c r="DP42"/>
  <c r="DT43" s="1"/>
  <c r="DO42"/>
  <c r="DN42"/>
  <c r="DM42"/>
  <c r="DL42"/>
  <c r="DK42"/>
  <c r="DJ42"/>
  <c r="DI42"/>
  <c r="DH42"/>
  <c r="DG42"/>
  <c r="DF42"/>
  <c r="DE42"/>
  <c r="DD42"/>
  <c r="DC42"/>
  <c r="DO43" s="1"/>
  <c r="DB42"/>
  <c r="DN43" s="1"/>
  <c r="DA42"/>
  <c r="CZ42"/>
  <c r="CY42"/>
  <c r="CX42"/>
  <c r="CW42"/>
  <c r="CV42"/>
  <c r="CU42"/>
  <c r="CY43" s="1"/>
  <c r="CT42"/>
  <c r="CX43" s="1"/>
  <c r="CS42"/>
  <c r="CR42"/>
  <c r="CQ42"/>
  <c r="CP42"/>
  <c r="CO42"/>
  <c r="CN42"/>
  <c r="CK42"/>
  <c r="CK43" s="1"/>
  <c r="CJ42"/>
  <c r="CJ43" s="1"/>
  <c r="CE42"/>
  <c r="CD42"/>
  <c r="CC42"/>
  <c r="CB42"/>
  <c r="BY42"/>
  <c r="BX42"/>
  <c r="BS42"/>
  <c r="BR42"/>
  <c r="BQ42"/>
  <c r="BP42"/>
  <c r="BK42"/>
  <c r="BJ42"/>
  <c r="BI42"/>
  <c r="BH42"/>
  <c r="BG42"/>
  <c r="BF42"/>
  <c r="BE42"/>
  <c r="BD42"/>
  <c r="BC42"/>
  <c r="BB42"/>
  <c r="BA42"/>
  <c r="AZ42"/>
  <c r="AW42"/>
  <c r="AV42"/>
  <c r="AU42"/>
  <c r="AT42"/>
  <c r="AS42"/>
  <c r="AR42"/>
  <c r="AQ42"/>
  <c r="AP42"/>
  <c r="AM42"/>
  <c r="AL42"/>
  <c r="AK42"/>
  <c r="AJ42"/>
  <c r="AI42"/>
  <c r="AH42"/>
  <c r="AG42"/>
  <c r="AF42"/>
  <c r="AE42"/>
  <c r="AD42"/>
  <c r="AA42"/>
  <c r="Z42"/>
  <c r="W42"/>
  <c r="V42"/>
  <c r="S42"/>
  <c r="R42"/>
  <c r="Q42"/>
  <c r="M42"/>
  <c r="L42"/>
  <c r="K42"/>
  <c r="J42"/>
  <c r="I42"/>
  <c r="H42"/>
  <c r="G42"/>
  <c r="F42"/>
  <c r="E42"/>
  <c r="D42"/>
  <c r="CM42"/>
  <c r="CL42"/>
  <c r="AY42"/>
  <c r="AX42"/>
  <c r="Y42"/>
  <c r="X42"/>
  <c r="U42"/>
  <c r="CG42"/>
  <c r="CF42"/>
  <c r="CA42"/>
  <c r="BZ42"/>
  <c r="BT42"/>
  <c r="AO42"/>
  <c r="AN42"/>
  <c r="AC42"/>
  <c r="AB42"/>
  <c r="B42"/>
  <c r="BW42"/>
  <c r="BV42"/>
  <c r="BM42"/>
  <c r="EP45" i="10" l="1"/>
  <c r="EV11"/>
  <c r="EX11"/>
  <c r="DH44"/>
  <c r="EW11"/>
  <c r="EV29"/>
  <c r="B44"/>
  <c r="V44"/>
  <c r="AD44"/>
  <c r="AH44"/>
  <c r="AT44"/>
  <c r="CT44"/>
  <c r="EX8"/>
  <c r="EW19"/>
  <c r="EW25"/>
  <c r="EV27"/>
  <c r="AG44"/>
  <c r="CW44"/>
  <c r="AF44"/>
  <c r="FM10" i="9"/>
  <c r="O42"/>
  <c r="BE43" s="1"/>
  <c r="CH43"/>
  <c r="CR43"/>
  <c r="CI43"/>
  <c r="BL42"/>
  <c r="CD43" s="1"/>
  <c r="CS43"/>
  <c r="BK43"/>
  <c r="BJ43"/>
  <c r="CE43"/>
  <c r="CG43"/>
  <c r="BB43"/>
  <c r="BD43"/>
  <c r="CF43"/>
  <c r="C42"/>
  <c r="EX44" i="10" l="1"/>
  <c r="CS45"/>
  <c r="EW44"/>
  <c r="CQ45"/>
  <c r="CR45"/>
  <c r="ED45"/>
  <c r="BC43" i="9"/>
  <c r="FM42"/>
  <c r="FL42"/>
  <c r="O549" i="1" l="1"/>
  <c r="N549"/>
  <c r="O551"/>
  <c r="N551"/>
  <c r="O533"/>
  <c r="P533"/>
  <c r="Q533"/>
  <c r="R533"/>
  <c r="N533"/>
  <c r="O517" l="1"/>
  <c r="N517"/>
  <c r="O516"/>
  <c r="N516"/>
  <c r="O426"/>
  <c r="P426"/>
  <c r="Q426"/>
  <c r="R426"/>
  <c r="N426"/>
  <c r="O442"/>
  <c r="Q442"/>
  <c r="R442"/>
  <c r="O421"/>
  <c r="P421"/>
  <c r="Q421"/>
  <c r="R421"/>
  <c r="N421"/>
  <c r="P400"/>
  <c r="O400"/>
  <c r="N400"/>
  <c r="O373"/>
  <c r="N373"/>
  <c r="O372"/>
  <c r="N372"/>
  <c r="O357"/>
  <c r="N357"/>
  <c r="O356"/>
  <c r="N356"/>
  <c r="O301"/>
  <c r="N301"/>
  <c r="O253"/>
  <c r="N253"/>
  <c r="P210"/>
  <c r="Q210"/>
  <c r="R210"/>
  <c r="O210"/>
  <c r="N210"/>
  <c r="O209"/>
  <c r="N209"/>
  <c r="O133"/>
  <c r="N133"/>
  <c r="O132"/>
  <c r="N132"/>
  <c r="O122"/>
  <c r="N122"/>
  <c r="O113"/>
  <c r="Q63"/>
  <c r="R63"/>
  <c r="O110" l="1"/>
  <c r="O360"/>
  <c r="N360"/>
  <c r="O79"/>
  <c r="N79"/>
  <c r="N74"/>
  <c r="P63"/>
  <c r="O10"/>
  <c r="N10"/>
  <c r="O666"/>
  <c r="P666"/>
  <c r="Q666"/>
  <c r="R666"/>
  <c r="N666"/>
  <c r="N63" l="1"/>
  <c r="O63"/>
  <c r="R600"/>
  <c r="Q600"/>
  <c r="P600"/>
  <c r="O600"/>
  <c r="N600"/>
  <c r="O580" l="1"/>
  <c r="P580"/>
  <c r="Q580"/>
  <c r="R580"/>
  <c r="N580"/>
  <c r="P442" l="1"/>
  <c r="O406" l="1"/>
  <c r="R413"/>
  <c r="Q413"/>
  <c r="P413"/>
  <c r="N406"/>
  <c r="R412"/>
  <c r="Q412"/>
  <c r="Q406" s="1"/>
  <c r="P412"/>
  <c r="O401"/>
  <c r="P401"/>
  <c r="Q401"/>
  <c r="R401"/>
  <c r="N401"/>
  <c r="P406" l="1"/>
  <c r="R406"/>
  <c r="O272"/>
  <c r="R272"/>
  <c r="Q272"/>
  <c r="P272"/>
  <c r="O236"/>
  <c r="P236"/>
  <c r="Q236"/>
  <c r="R236"/>
  <c r="N236"/>
  <c r="R209" l="1"/>
  <c r="Q209"/>
  <c r="P209"/>
  <c r="O197"/>
  <c r="P197"/>
  <c r="Q197"/>
  <c r="R197"/>
  <c r="N197"/>
  <c r="Q168" l="1"/>
  <c r="N29" l="1"/>
  <c r="O29"/>
  <c r="P29"/>
  <c r="Q29"/>
  <c r="R29"/>
  <c r="O18" l="1"/>
  <c r="P18"/>
  <c r="Q18"/>
  <c r="R18"/>
  <c r="N18"/>
  <c r="O662" l="1"/>
  <c r="O650"/>
  <c r="O645"/>
  <c r="O619"/>
  <c r="O592"/>
  <c r="O588"/>
  <c r="O575"/>
  <c r="O569"/>
  <c r="O562"/>
  <c r="O542"/>
  <c r="O526"/>
  <c r="O521"/>
  <c r="O515"/>
  <c r="O489"/>
  <c r="O465"/>
  <c r="O466"/>
  <c r="O467"/>
  <c r="O468"/>
  <c r="O472"/>
  <c r="O473"/>
  <c r="O474"/>
  <c r="O475"/>
  <c r="O457"/>
  <c r="O454"/>
  <c r="O441"/>
  <c r="O435"/>
  <c r="O434" s="1"/>
  <c r="O416"/>
  <c r="O393"/>
  <c r="O378"/>
  <c r="O340"/>
  <c r="O327"/>
  <c r="O321"/>
  <c r="O304"/>
  <c r="O292"/>
  <c r="O287"/>
  <c r="O283"/>
  <c r="O262"/>
  <c r="O250"/>
  <c r="O203"/>
  <c r="O191"/>
  <c r="O184"/>
  <c r="O178"/>
  <c r="O159"/>
  <c r="O47"/>
  <c r="O23"/>
  <c r="O13"/>
  <c r="O9"/>
  <c r="O532" l="1"/>
  <c r="O531" s="1"/>
  <c r="O520" s="1"/>
  <c r="O339"/>
  <c r="O463"/>
  <c r="O456" s="1"/>
  <c r="O433"/>
  <c r="O8"/>
  <c r="O7" s="1"/>
  <c r="P244"/>
  <c r="P240" s="1"/>
  <c r="N442"/>
  <c r="N321"/>
  <c r="P321"/>
  <c r="Q321"/>
  <c r="R321"/>
  <c r="N283"/>
  <c r="P283"/>
  <c r="Q283"/>
  <c r="R283"/>
  <c r="N393"/>
  <c r="P393"/>
  <c r="Q393"/>
  <c r="R393"/>
  <c r="R387"/>
  <c r="Q387"/>
  <c r="P387"/>
  <c r="P292"/>
  <c r="Q292"/>
  <c r="R292"/>
  <c r="N280"/>
  <c r="N272" s="1"/>
  <c r="N262"/>
  <c r="P262"/>
  <c r="Q262"/>
  <c r="R262"/>
  <c r="O6" l="1"/>
  <c r="O674" s="1"/>
  <c r="R203" l="1"/>
  <c r="Q203"/>
  <c r="P203"/>
  <c r="N203"/>
  <c r="P191" l="1"/>
  <c r="Q191"/>
  <c r="R191"/>
  <c r="N184"/>
  <c r="P184"/>
  <c r="Q184"/>
  <c r="R184"/>
  <c r="P178"/>
  <c r="Q178"/>
  <c r="R178"/>
  <c r="Q110"/>
  <c r="R110"/>
  <c r="N113"/>
  <c r="P47"/>
  <c r="Q47"/>
  <c r="R47"/>
  <c r="N47"/>
  <c r="N23"/>
  <c r="Q23"/>
  <c r="R23"/>
  <c r="P526"/>
  <c r="Q526"/>
  <c r="R526"/>
  <c r="N645"/>
  <c r="P645"/>
  <c r="Q645"/>
  <c r="R645"/>
  <c r="R168"/>
  <c r="R159" s="1"/>
  <c r="Q159"/>
  <c r="P159"/>
  <c r="N191" l="1"/>
  <c r="N110"/>
  <c r="R304"/>
  <c r="P340"/>
  <c r="R13"/>
  <c r="Q13"/>
  <c r="P13"/>
  <c r="P23"/>
  <c r="R662"/>
  <c r="R650"/>
  <c r="R619"/>
  <c r="R605" s="1"/>
  <c r="R592"/>
  <c r="R588"/>
  <c r="R584"/>
  <c r="R575"/>
  <c r="R569"/>
  <c r="R562"/>
  <c r="R542"/>
  <c r="R521"/>
  <c r="R515"/>
  <c r="R473"/>
  <c r="R489"/>
  <c r="R475"/>
  <c r="R474"/>
  <c r="R472"/>
  <c r="R468"/>
  <c r="R467"/>
  <c r="R466"/>
  <c r="R465"/>
  <c r="R457"/>
  <c r="R454"/>
  <c r="R441"/>
  <c r="R435"/>
  <c r="R434" s="1"/>
  <c r="R416"/>
  <c r="R378"/>
  <c r="R327"/>
  <c r="R287"/>
  <c r="R250"/>
  <c r="R233"/>
  <c r="R9"/>
  <c r="N592"/>
  <c r="N178"/>
  <c r="R532" l="1"/>
  <c r="R531" s="1"/>
  <c r="R520" s="1"/>
  <c r="R340"/>
  <c r="Q340"/>
  <c r="R463"/>
  <c r="R456" s="1"/>
  <c r="R433"/>
  <c r="R8"/>
  <c r="N13"/>
  <c r="N340"/>
  <c r="R339" l="1"/>
  <c r="R7"/>
  <c r="R6" l="1"/>
  <c r="R674" s="1"/>
  <c r="N526"/>
  <c r="N292"/>
  <c r="N159"/>
  <c r="P592" l="1"/>
  <c r="Q592"/>
  <c r="P473"/>
  <c r="Q473"/>
  <c r="N473"/>
  <c r="N466"/>
  <c r="P466"/>
  <c r="Q466"/>
  <c r="N9" l="1"/>
  <c r="N474"/>
  <c r="P474"/>
  <c r="Q474"/>
  <c r="N457"/>
  <c r="P457"/>
  <c r="Q457"/>
  <c r="N521"/>
  <c r="P521"/>
  <c r="Q521"/>
  <c r="N454"/>
  <c r="P454"/>
  <c r="Q454"/>
  <c r="N441"/>
  <c r="P441"/>
  <c r="Q441"/>
  <c r="N435"/>
  <c r="N434" s="1"/>
  <c r="P435"/>
  <c r="P434" s="1"/>
  <c r="Q435"/>
  <c r="Q434" s="1"/>
  <c r="N416"/>
  <c r="P416"/>
  <c r="Q416"/>
  <c r="Q327"/>
  <c r="P304"/>
  <c r="Q304"/>
  <c r="N287"/>
  <c r="P287"/>
  <c r="Q287"/>
  <c r="N250"/>
  <c r="P250"/>
  <c r="Q250"/>
  <c r="P9"/>
  <c r="Q9"/>
  <c r="N542"/>
  <c r="P542"/>
  <c r="Q542"/>
  <c r="N304"/>
  <c r="P327"/>
  <c r="N327"/>
  <c r="Q378"/>
  <c r="P378"/>
  <c r="N378"/>
  <c r="N339" l="1"/>
  <c r="P339"/>
  <c r="Q339"/>
  <c r="N433"/>
  <c r="P433"/>
  <c r="Q433"/>
  <c r="N584"/>
  <c r="P584"/>
  <c r="Q584"/>
  <c r="N562"/>
  <c r="P562"/>
  <c r="Q562"/>
  <c r="N619" l="1"/>
  <c r="P619"/>
  <c r="Q619"/>
  <c r="Q605" s="1"/>
  <c r="N472" l="1"/>
  <c r="P472"/>
  <c r="Q472"/>
  <c r="N569" l="1"/>
  <c r="N489" l="1"/>
  <c r="N575"/>
  <c r="P575"/>
  <c r="Q575"/>
  <c r="P569"/>
  <c r="Q569"/>
  <c r="N515"/>
  <c r="P515"/>
  <c r="Q515"/>
  <c r="P489"/>
  <c r="Q489"/>
  <c r="N475"/>
  <c r="P475"/>
  <c r="Q475"/>
  <c r="N465"/>
  <c r="P465"/>
  <c r="Q465"/>
  <c r="N467"/>
  <c r="P467"/>
  <c r="Q467"/>
  <c r="P468" l="1"/>
  <c r="P463" s="1"/>
  <c r="Q468"/>
  <c r="Q463" s="1"/>
  <c r="N468"/>
  <c r="N463" s="1"/>
  <c r="N456" l="1"/>
  <c r="P456"/>
  <c r="Q456"/>
  <c r="Q233"/>
  <c r="Q8" s="1"/>
  <c r="Q588"/>
  <c r="Q650"/>
  <c r="Q662"/>
  <c r="Q532" l="1"/>
  <c r="Q531" s="1"/>
  <c r="Q520" s="1"/>
  <c r="Q7"/>
  <c r="Q6" l="1"/>
  <c r="Q674" s="1"/>
  <c r="N662" l="1"/>
  <c r="P662"/>
  <c r="N650" l="1"/>
  <c r="P650"/>
  <c r="N588"/>
  <c r="P588"/>
  <c r="N233"/>
  <c r="N8" s="1"/>
  <c r="P233"/>
  <c r="P8" s="1"/>
  <c r="P532" l="1"/>
  <c r="P531" s="1"/>
  <c r="P520" s="1"/>
  <c r="N532"/>
  <c r="N531" s="1"/>
  <c r="N520" s="1"/>
  <c r="N7"/>
  <c r="P7"/>
  <c r="P6" l="1"/>
  <c r="P674" s="1"/>
  <c r="N6"/>
  <c r="N674" l="1"/>
</calcChain>
</file>

<file path=xl/sharedStrings.xml><?xml version="1.0" encoding="utf-8"?>
<sst xmlns="http://schemas.openxmlformats.org/spreadsheetml/2006/main" count="3697" uniqueCount="1558">
  <si>
    <t xml:space="preserve">Код строки
</t>
  </si>
  <si>
    <t xml:space="preserve">Код расхода по БК
</t>
  </si>
  <si>
    <t>1</t>
  </si>
  <si>
    <t>1.5.4.2.39. разработка и утверждение программ комплексного развития систем коммунальной инфраструктуры поселений, программ комплексного развития транспортной инфраструктуры поселений, программ комплексного развития социальной инфраструктуры поселений,  требования к которым устанавливаются Правительством Российской Федерации</t>
  </si>
  <si>
    <t xml:space="preserve">Российской Федерации
</t>
  </si>
  <si>
    <t>субъекта Российской Федерации</t>
  </si>
  <si>
    <t>номер статьи,(подстатьи), пункта (подпункта)</t>
  </si>
  <si>
    <t xml:space="preserve">дата вступления в силу и срок действия
</t>
  </si>
  <si>
    <t>раздел</t>
  </si>
  <si>
    <t>подраздел</t>
  </si>
  <si>
    <t>по плану</t>
  </si>
  <si>
    <t>по факту</t>
  </si>
  <si>
    <t>2</t>
  </si>
  <si>
    <t>3</t>
  </si>
  <si>
    <t>4</t>
  </si>
  <si>
    <t>5</t>
  </si>
  <si>
    <t>6</t>
  </si>
  <si>
    <t>7</t>
  </si>
  <si>
    <t>8</t>
  </si>
  <si>
    <t>10</t>
  </si>
  <si>
    <t>11</t>
  </si>
  <si>
    <t>12</t>
  </si>
  <si>
    <t>13</t>
  </si>
  <si>
    <t>14</t>
  </si>
  <si>
    <t>1000</t>
  </si>
  <si>
    <t xml:space="preserve">
x
</t>
  </si>
  <si>
    <t>1001</t>
  </si>
  <si>
    <t xml:space="preserve">
</t>
  </si>
  <si>
    <t>01</t>
  </si>
  <si>
    <t>06</t>
  </si>
  <si>
    <t>05</t>
  </si>
  <si>
    <t>02</t>
  </si>
  <si>
    <t>04</t>
  </si>
  <si>
    <t>09</t>
  </si>
  <si>
    <t>08</t>
  </si>
  <si>
    <t>03</t>
  </si>
  <si>
    <t>07</t>
  </si>
  <si>
    <t>1024</t>
  </si>
  <si>
    <t>1100</t>
  </si>
  <si>
    <t>1.3.1.6. создание условий для развития туризма</t>
  </si>
  <si>
    <t>Итого расходных обязательств муниципальных образований</t>
  </si>
  <si>
    <t>8000</t>
  </si>
  <si>
    <t>муниципального образования</t>
  </si>
  <si>
    <t>Федеральный Закон от 06.10.2003 № 131-ФЗ "Об общих принципах организации местного самоуправления"</t>
  </si>
  <si>
    <t>06.10.2003, не установлен</t>
  </si>
  <si>
    <t xml:space="preserve">Закон Томской области от 11 сентября 2007 г. N 198-ОЗ "О муниципальной службе в Томской области" </t>
  </si>
  <si>
    <t>ст. 11, п. 1</t>
  </si>
  <si>
    <t>01.01.2006, не установлен</t>
  </si>
  <si>
    <t>Федеральный Закон от 02.03.2007 № 25-ФЗ "О муниципальной службе в РФ"</t>
  </si>
  <si>
    <t>01.06.2007, не установлен</t>
  </si>
  <si>
    <t>01.01.2008, не установлен</t>
  </si>
  <si>
    <t>29.02.1993, не установлен</t>
  </si>
  <si>
    <t>01.01.2005, не установлен</t>
  </si>
  <si>
    <t>01.01.2009, не установлен</t>
  </si>
  <si>
    <t>в целом</t>
  </si>
  <si>
    <t>13.08.2014, не установлен</t>
  </si>
  <si>
    <t>п. 1</t>
  </si>
  <si>
    <t>23.04.2012, не установлен</t>
  </si>
  <si>
    <t>п.1-3</t>
  </si>
  <si>
    <t>ст. 15, п.1, п.п. 3</t>
  </si>
  <si>
    <t xml:space="preserve">
Гл. 1-2 Положения</t>
  </si>
  <si>
    <t xml:space="preserve">
13.07.2010, не установлен</t>
  </si>
  <si>
    <t>01.08.2006, не установлен</t>
  </si>
  <si>
    <t>01.01.2014, не установлен</t>
  </si>
  <si>
    <t>Гл.3, ст.15, п.1, п.п.5</t>
  </si>
  <si>
    <t>Гл.3, ст.15, п.1, п.п.6</t>
  </si>
  <si>
    <t>Постановление Администрации Колпашевского района от 14.09.2015 № 931 "О порядке расходования иных межбюджетных трансфертов, представленных из областного бюджета, на финансовое обеспечение мероприятий по временному социально-бытовому обустройству лиц, вынужденно покинувших территорию Украины и находящихся в помещениях, закрепленных за муниципальными учреждениями на праве оперативного управления или принадлежащих им на ином праве, определенных в качестве пунктов временного размещения" (в редакции от 30.09.2015 № 1001)</t>
  </si>
  <si>
    <t>14.09.2015- 25.12.2015</t>
  </si>
  <si>
    <t>п.1</t>
  </si>
  <si>
    <t>10.09.2012, не установлен</t>
  </si>
  <si>
    <t>Решение Думы Колпашевского района от 23.04.2012 № 46 "О порядке расходования денежных средств, выделенных бюджету муниципального образования "Колпашевский район" из бюджета Томской области"</t>
  </si>
  <si>
    <t>Федеральный Закон от 21.12.1994 № 68-ФЗ "О защите населения и территорий от чрезвычайных ситуаций природного и техногенного характера"</t>
  </si>
  <si>
    <t>ст. 24</t>
  </si>
  <si>
    <t>24.12.1994, не установлен</t>
  </si>
  <si>
    <t>Закон Томской области от 11.11.2005 N 206-ОЗ "О защите населения и территорий Томской области от чрезвычайных ситуаций природного и техногенного характера"</t>
  </si>
  <si>
    <t>03.12.2005, не установлен</t>
  </si>
  <si>
    <t>в том числе:</t>
  </si>
  <si>
    <t>Решение Думы Колпашевского района от 29.11.2006 № 236 "Об утверждении Положения о порядке утилизации и переработки твердых бытовых отходов и промышленных отходов III-IV класса опасности и о порядке размещения, обустройства и содержания полигонов и санкционированных объектов в МО "Колпашевский район" (в редакции от 02.07.2009 № 682, от 16.12.2013 № 129)</t>
  </si>
  <si>
    <t>п.1-3 Положения</t>
  </si>
  <si>
    <t>01.07.2007, не установлен</t>
  </si>
  <si>
    <t xml:space="preserve">Решение Думы Колпашевского района от 29.11.2006 № 236 "Об утверждении Положения о порядке утилизации и переработки твердых бытовых отходов и промышленных отходов III-IV класса опасности и о порядке размещения, обустройства и содержания полигонов и санкционированных объектов в МО "Колпашевский район" (в редакции от 02.07.2009 № 682, от 16.12.2013 № 129)
</t>
  </si>
  <si>
    <t>Гл.3, ст.15, п.1, п.п. 14</t>
  </si>
  <si>
    <t>Постановление Администрации Томской области от 05.06.2014 N 215а "О Порядке предоставления иных межбюджетных трансфертов на приобретение модульных фельдшерско-акушерских пунктов"</t>
  </si>
  <si>
    <t>05.06.2014- 31.12.2014</t>
  </si>
  <si>
    <t>Решение Думы Колпашевского района от 26.01.2015 № 8 "Об утверждении положения о создании условий для оказания медицинской помощи населению на территории Колпашевского района в соответствии с территориальной программой государственных гарантий бесплатного оказания гражданам медицинской помощи"</t>
  </si>
  <si>
    <t>26.01.2015, не установлен</t>
  </si>
  <si>
    <t xml:space="preserve">Постановление Администрации Колпашеского района от 01.10.2014 № 1130 "О порядке расходования межбюджетного трансферта из областного бюджета бюджету муниципального образования «Колпашевский район» на приобретение модульных фельдшерско-акушерских пунктов" (в редакции от 19.12.2014 № 1534, от 27.12.2014 № 1160, от 04.03.2015 № 266)
</t>
  </si>
  <si>
    <t>01.10.2014- 31.03.2015</t>
  </si>
  <si>
    <t>Гл.3, ст.15, п. 1, п.п. 16</t>
  </si>
  <si>
    <t>Решение Думы Колпашевского района от 28.12.2005 № 50 "Об утверждении Положения о муниципальном архиве Колпашевского района"</t>
  </si>
  <si>
    <t>Гл.3, ст.15, часть 1, п.19.1</t>
  </si>
  <si>
    <t>ст. 10</t>
  </si>
  <si>
    <t>08.07.2007, не установлен</t>
  </si>
  <si>
    <t>01.01.2015, не установлен</t>
  </si>
  <si>
    <t>Гл.3, ст.15, п.1, п.п. 25</t>
  </si>
  <si>
    <t>01.01.2013, не установлен</t>
  </si>
  <si>
    <t>Решение Думы Колпашевскогот района от 29.04.2013 № 35 "О порядке использования средств бюджета муниципального образования "Колпашевский район" на реализацию мероприятий, направленных на содействие развитию малого и среднего предпринимательства" (в редакции от 05.09.2013 № 72, от 13.08.2014 № 76)</t>
  </si>
  <si>
    <t>29.04.2013, не установлен</t>
  </si>
  <si>
    <t>ст. 1</t>
  </si>
  <si>
    <t>Гл.3, ст.15, п.1, п.п.26</t>
  </si>
  <si>
    <t xml:space="preserve">п. 2-5 Положения,      </t>
  </si>
  <si>
    <t>30.03.2007, не установлен</t>
  </si>
  <si>
    <t xml:space="preserve">Федеральный Закон от 06.10.2003 № 131-ФЗ "Об общих принципах организации местного самоуправления" </t>
  </si>
  <si>
    <t>Гл.3, ст.15, п.1, п.п.27</t>
  </si>
  <si>
    <t>01.01.2007, не установлен</t>
  </si>
  <si>
    <t>(684)</t>
  </si>
  <si>
    <t>Решение Думы Колпашевского района от 15.12.2014 № 161 "О порядке расходования денежных средств, выделенных бюджету муниципального образования "Колпашевский район" на осуществление переданных полномочий по решению вопросов местного значения поселений Колпашевского района"</t>
  </si>
  <si>
    <t>Решение Думы Колпашевского района от 15.12.2014 № 160 "Об организации библиотечного обслуживания населения сельских поселений Колпашевского района, комплектовании и обеспечении сохранности библиотечных фондов библиотек сельских поселений Колпашевского района"</t>
  </si>
  <si>
    <t>Постановление Администрации Колпашевского района от 30.01.2015 № 79 "Об утверждении Порядка расходования иных межбюджетных трансфертов, выделяемых бюджету муниципального образования "Колпашевский район" на осуществление переданных полномочий по решению вопроса местного значения по организации библиотечного обслуживания населения, комплектованию и обеспечению сохранности библиотечных фондов библиотек Колпашевского городского поселения"</t>
  </si>
  <si>
    <t>ст. 34</t>
  </si>
  <si>
    <t>ст. 9-13</t>
  </si>
  <si>
    <t>Решение Думы Колпашевского района от 08.10.2005 № 418 "Об утверждении положений " (Приложение 1)</t>
  </si>
  <si>
    <t xml:space="preserve">п.2-4 Положения </t>
  </si>
  <si>
    <t xml:space="preserve">01.01.2006, не установлен </t>
  </si>
  <si>
    <t>06.10.2003, не утановлен</t>
  </si>
  <si>
    <t>п.1-2</t>
  </si>
  <si>
    <t>31.05.2006, не установлен</t>
  </si>
  <si>
    <t>Решение Думы Колпашевского района от 25.03.2015 № 30 "О порядке расходования денежных средств, выделенных бюджету муниципального образования "Колпашевский район" на осуществление переданных полномочий по решению вопросов местного значения"</t>
  </si>
  <si>
    <t>ст.17, п.1, п.п. 3</t>
  </si>
  <si>
    <t>Решение Думы Колпашевского района от 14.07.2006 № 176 "О финансировании расходов, связанных с размещением заказа на поставку товаров, выполнение работ и оказание услуг для муниципальных нужд" (в редакции от 28.04.2008 № 467)</t>
  </si>
  <si>
    <t>п. 1-4</t>
  </si>
  <si>
    <t>14.07.2006, не установлен</t>
  </si>
  <si>
    <t>Постановление Правительства РФ от 30.12.2003 N 794 "О единой государственной системе предупреждения и ликвидации чрезвычайных ситуаций"</t>
  </si>
  <si>
    <t>п.8, п.9, п.20, п.30</t>
  </si>
  <si>
    <t>20.01.2004, не установлен</t>
  </si>
  <si>
    <t>Постановление Администрации Томской области от 17.08.2007 N 122а "Об утверждении Положения о территориальной подсистеме единой государственной системы предупреждения и ликвидации чрезвычайных ситуаций Томской области"</t>
  </si>
  <si>
    <t>п. 32</t>
  </si>
  <si>
    <t>17.08.2007, не установлен</t>
  </si>
  <si>
    <t>20.11.2015, не установлен</t>
  </si>
  <si>
    <t>ст.57, п.1, п.2</t>
  </si>
  <si>
    <t>25.06.2002, не установлен</t>
  </si>
  <si>
    <t>ст. 22, п.1</t>
  </si>
  <si>
    <t>29.01.2007, не установлен</t>
  </si>
  <si>
    <t>Федеральный закон от 26.11.1996 № 138-ФЗ "Об обеспечении конституционных прав граждан Российской Федерации избирать и быть избранными в органы местного самоуправления"</t>
  </si>
  <si>
    <t>ст.4, п.4</t>
  </si>
  <si>
    <t>02.12.1996, не установлен</t>
  </si>
  <si>
    <t>Закон Томской области от 14.02.2005 № 29-ОЗ "О муниципальных выборах в Томской области"</t>
  </si>
  <si>
    <t>ст. 46, п.1</t>
  </si>
  <si>
    <t>26.02.2005, не установлен</t>
  </si>
  <si>
    <t>с. 17, п.1, п.п. 5</t>
  </si>
  <si>
    <t>Закон Томской области от 10.04.2003 № 50-ОЗ "Об избирательных комиссиях, комиссиях референдума в Томской области"</t>
  </si>
  <si>
    <t>ст.15, п.1</t>
  </si>
  <si>
    <t>06.05.2003, не установлен</t>
  </si>
  <si>
    <t>Федеральный закон от 10.01.2003 № 20-ФЗ "О Государственной автоматизированной системе Российской Федерации "Выборы"</t>
  </si>
  <si>
    <t>ст.25, п.1, п.2</t>
  </si>
  <si>
    <t>24.01.2003, не установлен</t>
  </si>
  <si>
    <t>Гл.3, ст.17, п. 1, п.п. 8.1.</t>
  </si>
  <si>
    <t>Решение Думы Колпашевского района от 08.10.2005 № 417 "О Положении об организации профессиональной подготовки кадров органов местного самоуправления Колпашевского района и работников органов Администрации Колпашевского района" (в редакции от 17.06.2013 № 57)</t>
  </si>
  <si>
    <t>п. 1-3</t>
  </si>
  <si>
    <t xml:space="preserve">01.01.2012, не установлен </t>
  </si>
  <si>
    <t>Решение Думы Колпашевского района от 26.01.2015 № 8 "Об утверждении положения о создании условий для оказания медицинской помощи населению на территории Колпашевского района в соответствии с территориальной программой государственных гарантий бесплатного оказания гражданам медицинской помощи" (в редакции от 27.11.2015 № 39)</t>
  </si>
  <si>
    <t>Федеральный Закон от 12.01.1996 № 7-ФЗ "О некоммерческих организациях"</t>
  </si>
  <si>
    <t>ст. 31</t>
  </si>
  <si>
    <t>24.01.1996, не установлен</t>
  </si>
  <si>
    <t>Решение Думы Колпашевского района от 25.11.2013 № 107 "О финансировании за счет средств бюджета МО "Колпашевский район" мероприятий направленных на поддержку социально-орентированных некомерческих организаций, не являющихся муниципальными учреждениями" (в редакции от 15.12.2014 № 154)</t>
  </si>
  <si>
    <t>25.11.2013, не установлен</t>
  </si>
  <si>
    <t>Федеральный закон от 21 декабря 1996 г. N 159-ФЗ "О дополнительных гарантиях по социальной поддержке детей-сирот и детей, оставшихся без попечения родителей"</t>
  </si>
  <si>
    <t>ст.8</t>
  </si>
  <si>
    <t>23.12.1998, не установлен</t>
  </si>
  <si>
    <t>Решение Думы Колпашевского района от 25.11.2011 № 150 "О порядке расходования бюджетных ассигнований, выделенных бюджету муниципального образования «Колпашевский район» из бюджета Томской области на исполнение судебных решений"</t>
  </si>
  <si>
    <t>25.11.2011, не установлен</t>
  </si>
  <si>
    <t>ст.15.1, п.2</t>
  </si>
  <si>
    <t>Ст. 4, п. 2,3 Положения</t>
  </si>
  <si>
    <t>Решение Думы Колпашевского района от 31.10.2006 № 222 "Об утверждении положения о присвоении звания "Человек года" на территории муниципального образования "Колпашевский район"</t>
  </si>
  <si>
    <t>Гл. 6- 9 Положения</t>
  </si>
  <si>
    <t>31.10.2006, не установлен</t>
  </si>
  <si>
    <t>п.2</t>
  </si>
  <si>
    <t>19.12.2012, не установлен</t>
  </si>
  <si>
    <t>Закон Томской области от 07.09.2009 N 169-ОЗ "О взаимодействии органов государственной власти Томской области с Ассоциацией "Совет муниципальных образований Томской области"</t>
  </si>
  <si>
    <t>ст. 6,7</t>
  </si>
  <si>
    <t>26.09.2009, не установлен</t>
  </si>
  <si>
    <t>Решение Думы Колпашевского района от 28.02.2006 № 82 "О вступлении в Совет Муниципальных образований Томской области" (в редакции от 22.12.2006 № 255, от 26.02.2010 № 814 )</t>
  </si>
  <si>
    <t>28.02.2006, не установлен</t>
  </si>
  <si>
    <t>Федеральный закон от 20.08.2004 N 113-ФЗ "О присяжных заседателях федеральных судов общей юрисдикции в Российской Федерации"</t>
  </si>
  <si>
    <t>ст. 5, п. 14</t>
  </si>
  <si>
    <t>23.08.2004, не установлен</t>
  </si>
  <si>
    <t xml:space="preserve">Закон Томской области от 29.12.2007 N 320-ОЗ "Об утверждении Методики распределения субвенций между бюджетами муниципальных образований Томской области на осуществление государственных полномочий по составлению (изменению и дополнению) списков кандидатов в присяжные заседатели федеральных судов общей юрисдикции в Российской Федерации" </t>
  </si>
  <si>
    <t xml:space="preserve">Постановление Администрации Колпашевского района от 30.06.2010 № 862 "Об установлении расходных обязательств по осуществлению отдельных государственных полномочий по составлению (изменению и дополнению) списков кандидатов в присяжные заседатели федеральных судов общей юрисдикции в РФ"         </t>
  </si>
  <si>
    <t>01.07.2010 - до окончания срока действия ЗТО от 29.12.2007 № 320-ОЗ</t>
  </si>
  <si>
    <t>Федеральный закон от 22.10.2004 N 125-ФЗ "Об архивном деле в Российской Федерации"</t>
  </si>
  <si>
    <t>27.10.2004, не установлен</t>
  </si>
  <si>
    <t xml:space="preserve">Закон Томской области от 10.11.2006 N 261-ОЗ "О наделении органов местного самоуправления отдельными государственными полномочиями по хранению, комплектованию, учету и использованию архивных документов, относящихся к собственности Томской области" </t>
  </si>
  <si>
    <t>вводиться в действие ежегодно</t>
  </si>
  <si>
    <t>п.1-4</t>
  </si>
  <si>
    <t>01.07.2010, до окончания срока действия ЗТО от 10.11.2006 № 261-ОЗ</t>
  </si>
  <si>
    <t xml:space="preserve">Закон Томской области от 14.10.2005 N 191-ОЗ "О наделении органов местного самоуправления отдельными государственными полномочиями по расчету и предоставлению дотаций поселениям Томской области за счет средств областного бюджета" </t>
  </si>
  <si>
    <t>п. 1-5</t>
  </si>
  <si>
    <t xml:space="preserve">Постановление Администрации Колпашевского района от 29.06.2010 № 845 "Об установлении расходных обязательств по осуществлению отдельных государственных полномочий по расчету и предоставлению дотаций поселениям, входящим в состав МО "Колпашевский район" </t>
  </si>
  <si>
    <t>01.07.2010, до окончания действия ЗТО от 14.10.2005 № 191-ОЗ</t>
  </si>
  <si>
    <t>Федеральный закон от 29 декабря 2012 г. N 273-ФЗ
"Об образовании в Российской Федерации"</t>
  </si>
  <si>
    <t>01.09.2013, не установлен</t>
  </si>
  <si>
    <t>ст.47, ч.5, п.7</t>
  </si>
  <si>
    <t>Закон Томской области от 15.12.2004 N 248-ОЗ "О наделении органов местного самоуправления отдельными государственными полномочиями по выплате надбавок к тарифной ставке (должностному окладу) педагогическим работникам и руководителям муниципальных образовательных учреждений"</t>
  </si>
  <si>
    <t>ст. 2-5</t>
  </si>
  <si>
    <t>01.01.2006 вводится в действие ежегодно</t>
  </si>
  <si>
    <t>Постановление Администрации Колпашевского района  от 26.06.2010 № 829 "Об установлении расходных обязательств по осуществлению отдельных государственных полномочий по выплате надбавок к тарифной ставке (должностному окладу) педагогическим работникам и руководителм МОУ" (в редакции от 28.11.2013 № 1232)</t>
  </si>
  <si>
    <t xml:space="preserve">01.07.2010-до окончания срока действия ЗТО от 15.12.2004 № 248-ОЗ </t>
  </si>
  <si>
    <t>ст. 8</t>
  </si>
  <si>
    <t xml:space="preserve">Закон Томской области от 11.09.2007 N 188-ОЗ "О наделении органов местного самоуправления государственными полномочиями по обеспечению жилыми помещениями детей-сирот и детей, оставшихся без попечения родителей, а также лиц из их числа, не имеющих закрепленного жилого помещения" </t>
  </si>
  <si>
    <t>ст. 3,6</t>
  </si>
  <si>
    <t>01.01.2008, вводиться ежегодно ЗТО "Об областном бюджете на очередной финансовый год"</t>
  </si>
  <si>
    <t>Постановление Администрации Колпашевского района от 30.06.2010 № 863 "Об установлении расходных обязательств по осуществлению отдельных государственных полномочий" (в редакцтт от 19.06.2012 № 577, от 13.02.2013 № 119)</t>
  </si>
  <si>
    <t xml:space="preserve">01.07.2010, до окончания срока действия ЗТО от 11.09.2007 № 188-ОЗ </t>
  </si>
  <si>
    <t>Федеральный закон от 24.04.2008 N 48-ФЗ "Об опеке и попечительстве"</t>
  </si>
  <si>
    <t>01.09.2008, не установлен</t>
  </si>
  <si>
    <t>Закон Томской области от 15.12.2004 N 246-ОЗ "О наделении органов местного самоуправления отдельными государственными полномочиями в области социальной поддержки в отношении детей-сирот и детей, оставшихся без попечения родителей, а также лиц из числа детей-сирот и детей, оставшихся без попечения родителей"</t>
  </si>
  <si>
    <t>ст.1 п.п.1)</t>
  </si>
  <si>
    <t>п.1.3.</t>
  </si>
  <si>
    <t xml:space="preserve">01.07.2010- до окончания срока действия ЗТО от 15.12.2004 № 246-ОЗ </t>
  </si>
  <si>
    <t>ст.47</t>
  </si>
  <si>
    <t>Закон Томской области от 09.12.2013 N 214-ОЗ "О наделении органов местного самоуправления отдельными государственными полномочиями по обеспечению обучающихся с ограниченными возможностями здоровья, проживающих в муниципальных (частных) образовательных организациях, осуществляющих образовательную деятельность по основным общеобразовательным программам, питанием, одеждой, обувью, мягким и жестким инвентарем и обеспечению обучающихся с ограниченными возможностями здоровья, не проживающих в муниципальных (частных) образовательных организациях, осуществляющих образовательную деятельность по основным общеобразовательным программам, бесплатным двухразовым питанием"</t>
  </si>
  <si>
    <t>ст.5</t>
  </si>
  <si>
    <t>01.01.2014, вводится в действие ежегодно ЗТО о бюджете ТО</t>
  </si>
  <si>
    <t>01.01.2014, до окончания действия ЗТО от 09.12.2013 № 214-ОЗ</t>
  </si>
  <si>
    <t>Федеральный закон от 21 декабря 1996 г. N 159-ФЗ
"О дополнительных гарантиях по социальной поддержке детей-сирот и детей, оставшихся без попечения родителей"</t>
  </si>
  <si>
    <t>23.12.1996, не установлен</t>
  </si>
  <si>
    <t>ст.1 п.п.5)</t>
  </si>
  <si>
    <t>вводится в действие ежегодно</t>
  </si>
  <si>
    <t>п.1.3</t>
  </si>
  <si>
    <t>01.07.2010, до окончания срока действия ЗТО от 15.12.2004 № 246-ОЗ</t>
  </si>
  <si>
    <t>Кодекс Российской Федерации об административных правонарушениях
от 30 декабря 2001 г. N 195-ФЗ</t>
  </si>
  <si>
    <t>ст.22.1</t>
  </si>
  <si>
    <t>01.07.2002, не установлен</t>
  </si>
  <si>
    <t>Закон Томской области от 24.11.2009 N 261-ОЗ "О наделении органов местного самоуправления отдельными государственными полномочиями по созданию и обеспечению деятельности административных комиссий в Томской области"</t>
  </si>
  <si>
    <t>ст.4</t>
  </si>
  <si>
    <t>Постановление Администрации Колпашевского района от 30.06.2010 № 865 "Об установлении расходного обязательства МО "Колпашевский район" по осуществлению отдельных государственных полномочий по созданию и обеспечению деятельности административных комиссий"</t>
  </si>
  <si>
    <t>01.07.2010, до окончания срока действия ЗТО от 24.11.2009 № 261-ОЗ</t>
  </si>
  <si>
    <t>Федеральный закон от 24.06.1999 N 120-ФЗ "Об основах системы профилактики безнадзорности и правонарушений несовершеннолетних"</t>
  </si>
  <si>
    <t>ст. 2, п.п.2; ст. 11, п.п. 1;  ст. 25, п.п. 1, п.п. 3</t>
  </si>
  <si>
    <t>28.06.1999, не установлен</t>
  </si>
  <si>
    <t>Закон Томской области от 29.12.2005 N 241-ОЗ "О наделении органов местного самоуправления государственными полномочиями по созданию и обеспечению деятельности комиссий по делам несовершеннолетних и защите их прав"</t>
  </si>
  <si>
    <t>Ст. 1-3</t>
  </si>
  <si>
    <t>вводится ежегодно ЗТО об областном бюджете на очередной финансовый год</t>
  </si>
  <si>
    <t>Постановление Администрации Колпашевского района от 30.06.2010 № 860 "Об установлении расходного обязательства муниципального образования "Колпашевский район" по осуществлению отдельных государственных полномочий по созданию и обеспечению деятельности комиссий по делам несовершенннолетних и защите их прав"</t>
  </si>
  <si>
    <t>01.07.2010, до окончания срока действия ЗТО от 29.12.2005 № 241-ОЗ</t>
  </si>
  <si>
    <t>27.12.1998, не установлен</t>
  </si>
  <si>
    <t>Закон Томской области от 28.12.2007 № 298-ОЗ "О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в Томской области"</t>
  </si>
  <si>
    <t>01.01.2008, вводится ежегодно ЗТО об областном бюджете на очередной финансовый год</t>
  </si>
  <si>
    <t>01.07.2010, до окнчания срока действия ЗТО от 28.12.2007 № 298-ОЗ</t>
  </si>
  <si>
    <t xml:space="preserve">Закон Томской области от 07.07.2009 N 104-ОЗ "О наделении органов местного самоуправления отдельными государственными полномочиями по предоставлению, переоформлению и изъятию горных отводов для разработки месторождений и проявлений общераспространенных полезных ископаемых" </t>
  </si>
  <si>
    <t>ст. 7 п.1</t>
  </si>
  <si>
    <t>Постановление Администрации Колпашевского района от 30.06.2010 № 866 "Об установлении расходного обязательства МО "Колпашевский район" по осуществлению отдельных государственных полномочий по предоставлению, переоформлению и изъятию горных отводов для разработки месторождений и проявлений общераспространенных полезных ископаемых в Томской области"</t>
  </si>
  <si>
    <t>01.07.2010- до окончания срока действия ЗТО от 07.07.2009 № 104-ОЗ</t>
  </si>
  <si>
    <t>Закон Томской области от 09.12.2013 N 216-ОЗ "О наделении органов местного самоуправления отдельными государственными полномочиями по регистрации коллективных договоров"</t>
  </si>
  <si>
    <t>Постановление Администрации Колпашевского района от 30.12.2013 № 1405 "Об установлении расходных обязательств по осуществлению отдельных государственных полномочий по регистрации коллективных договоров"</t>
  </si>
  <si>
    <t>01.01.2014, до окончания срока действия ЗТО от 09.12.2013 № 216-ОЗ</t>
  </si>
  <si>
    <t>Постановление Главного государственного санитарного врача РФ от 6 мая 2010 г. N 54
"Об утверждении СП 3.1.7.2627-10"</t>
  </si>
  <si>
    <t>раздел IX, п. 9.2.</t>
  </si>
  <si>
    <t>06.05.2010, не установлен</t>
  </si>
  <si>
    <t xml:space="preserve">Закон Томской области от 11.04.2013 N 51-ОЗ "О наделении органов местного самоуправления отдельными государственными полномочиями по регулированию численности безнадзорных животных" </t>
  </si>
  <si>
    <t>01.06.2013, вводится в действие ежегодно ЗТО о бюджете ТО</t>
  </si>
  <si>
    <t>Постановление Администрации Колпашевского района от 02.07.2013 № 625 "Об установлении расходного обязательства муниципального образования "Колпашевский район" по осуществлению отдельных государственных полномочий по Томской области по регулированию численности безнадзорных животных на территории муниципального образования "Колпашевский район"</t>
  </si>
  <si>
    <t>01.06.2013, до окончания действия ЗТО от 11.04.2013 № 51-ОЗ</t>
  </si>
  <si>
    <t xml:space="preserve">Закон Томской области от 18.03.2003 N 36-ОЗ "О наделении органов местного самоуправления Томской области отдельными государственными полномочиями по регулированию тарифов на перевозки пассажиров и багажа всеми видами общественного транспорта в городском, пригородном и междугородном сообщении (кроме железнодорожного транспорта) по городским, пригородным и междугородным муниципальным маршрутам" </t>
  </si>
  <si>
    <t>ст. 2-4</t>
  </si>
  <si>
    <t>01.05.2006 вводиться в действие ежегодно</t>
  </si>
  <si>
    <t>п.1-6</t>
  </si>
  <si>
    <t>01.07.2010-До окончания срока действия ЗТО от 18.03.2003 № 36-ОЗ</t>
  </si>
  <si>
    <t>Закон Томской области от 09.12.2013 N 213-ОЗ "О наделении органов местного самоуправления отдельными государственными полномочиями по обеспечению предоставления бесплатной методической, психолого педагогической, диагностической и консультативной помощи, в том числе в дошкольных образовательных организациях и общеобразовательных организациях, если в них созданы соответствующие консультационные центры, родителям (законным представителям) несовершеннолетних обучающихся, обеспечивающих получение детьми дошкольного образования в форме семейного образования"</t>
  </si>
  <si>
    <t>01.09.2013, вводится в действие ежегодно ЗТО о бюджете ТО</t>
  </si>
  <si>
    <t>Постановление Администрации Колпашевского района от 15.01.2014 № 15 "Об установлении расходных обязательств по осуществлению отдельных государственных полномочий, переданных в соответствии с Законом Томской области от 09.12.2013 № 213-ОЗ"</t>
  </si>
  <si>
    <t>01.01.2014, до окончания действия ЗТО от 09.12.2013 № 213-ОЗ</t>
  </si>
  <si>
    <t>Федеральный закон от 25.10.2002 № 125-ФЗ "О жилищных субсидиях гражданам, выезжающим из районов Крайнего Севера и приравненных к ним местностей"</t>
  </si>
  <si>
    <t>ст. 3</t>
  </si>
  <si>
    <t>01.01.2003, не установлен</t>
  </si>
  <si>
    <t xml:space="preserve">Закон Томской области от 13.04.2006 N 73-ОЗ "О наделении органов местного самоуправления государственными полномочиями по регистрации и учету граждан, имеющих право на получение социальных выплат для приобретения жилья в связи с переселением из районов Крайнего Севера и приравненных к ним местностей" </t>
  </si>
  <si>
    <t>08.05.2006, вводиться ежегодно ЗТО "Об областном бюджете на очередной финансовый год"</t>
  </si>
  <si>
    <t>01.01.2011, не установлен</t>
  </si>
  <si>
    <t>01.01.2013 не установлен</t>
  </si>
  <si>
    <t>Гл.3, ст.15, п. 1, п.п. 20</t>
  </si>
  <si>
    <t>ст. 15</t>
  </si>
  <si>
    <t>16.07.2012, не установлен</t>
  </si>
  <si>
    <t>Федеральный закон от 28.03.1998 N 53-ФЗ "О воинской обязанности и военной службе"</t>
  </si>
  <si>
    <t>ст. 8, п. 2</t>
  </si>
  <si>
    <t>30.03.1998, не установлен</t>
  </si>
  <si>
    <t>21.12.2015- 25.12.2015</t>
  </si>
  <si>
    <t>1939 (357)</t>
  </si>
  <si>
    <t>Решение Думы Колпашевского района от 21.12.2015 № 51 "О предоставлении иных межбюджетных трансфертов поселениям Колпашевского района на разработку программ комплексного развития коммунальной инфраструктуры"</t>
  </si>
  <si>
    <t>(617)</t>
  </si>
  <si>
    <t xml:space="preserve">ст. 15, ч. 1, п 11.                                                                                                                                                                          </t>
  </si>
  <si>
    <t>ст. 22</t>
  </si>
  <si>
    <t>Решение Думы Колпашевского района от 28.08.2009 № 691 "О введении НСОТ работников муниципальных общеобразовательных учреждений" (в редакции от 07.12.2009 № 742, от 25.12.2009 № 755, от 24.05.2010 № 838, от 24.05.2012 № 83, от 28.05.2014 № 50, от 27.04.2015 № 35)</t>
  </si>
  <si>
    <t xml:space="preserve">01.09.2013, не установлен </t>
  </si>
  <si>
    <t xml:space="preserve">Закон Томской области от 28.12.2010 N 336-ОЗ "О предоставлении межбюджетных трансфертов" </t>
  </si>
  <si>
    <t>абз 7 п.1 ст.1</t>
  </si>
  <si>
    <t>ст. 23</t>
  </si>
  <si>
    <t>Решение Думы Колпашевского района от 26.01.2015 № 1 "Об утверждении Положения о порядке финансирования расходов на создание условий для осуществления присмотра и ухода за детьми, содержание детей в муниципальных образовательных организациях муниципального образования "Колпашевский район" за счет средств бюджета муниципального образования "Колпашевский район"  (в редакции решения от 29.02.2016 № 7)</t>
  </si>
  <si>
    <t>01.09.2019, не установлен</t>
  </si>
  <si>
    <t>01.01.2010, не установлен</t>
  </si>
  <si>
    <t>01.04.2013, не установлен</t>
  </si>
  <si>
    <t>(679)</t>
  </si>
  <si>
    <t xml:space="preserve"> ст. 47, ч.5, п. 7</t>
  </si>
  <si>
    <t xml:space="preserve"> 01.09.2013, не установлен </t>
  </si>
  <si>
    <t xml:space="preserve"> ст. 36, ч.14</t>
  </si>
  <si>
    <t>(660)</t>
  </si>
  <si>
    <t>ст. 15, п.1, п.п. 4</t>
  </si>
  <si>
    <t>Гл.3, ст.15, п.1, п.п.6.2.</t>
  </si>
  <si>
    <t>Гл.3, ст.15, п.1, п.п. 9</t>
  </si>
  <si>
    <t xml:space="preserve">ст. 15, п. 1, п.п 11.                                                                                                                                                                          </t>
  </si>
  <si>
    <t>ст. 22, 23, 24</t>
  </si>
  <si>
    <t xml:space="preserve">ст. 15, п.1, п.п. 11.                                                                                                                                                                                </t>
  </si>
  <si>
    <t>ст. 15, ч.1, п. 11.</t>
  </si>
  <si>
    <t xml:space="preserve">  ст. 9, ч.1, п. 2,5</t>
  </si>
  <si>
    <t>Решение Думы Колпашевского района от 10.12.2005 № 31 "Об утверждении Положения об организации предоставления дополнительного образования и финансирования учреждений дополнительного образования детей в Колпашевском районе" (в редакции решений от 29.05.2015 № 44, от 29.02.2016 № 8)</t>
  </si>
  <si>
    <t xml:space="preserve">Закон Томской области от 12.08.2013 № 149-ОЗ "Об образовании в Томской области" </t>
  </si>
  <si>
    <t xml:space="preserve"> Федеральный закон от 29.12.2012 № 273-ФЗ "Об образовании в Российской Федерации" </t>
  </si>
  <si>
    <t>Федеральный закон от 06.10.2003 № 131-ФЗ "Об общих принципах организации местного самоуправления в РФ"</t>
  </si>
  <si>
    <t>Гл.3, ст.15, п.1, п.п.12</t>
  </si>
  <si>
    <t>Гл.3, ст.15, часть 1, п.19.2</t>
  </si>
  <si>
    <t>Решение Думы Колпашевского района от 25.12.2009 № 774 "О порядке использования средств бюджета муниципального образования "Колпашевский район" на реализацию мероприятий по созданию условий для развития местного традиционного народного художественного творчества в поселениях, входящих в состав Колпашевского района" (в редакции от 16.04.2010 № 824, от 23.04.2012 № 66, от 28.04.2014 № 40, от 15.12.2014 № 152, от 25.03.2015 № 28)</t>
  </si>
  <si>
    <t xml:space="preserve">Закон Томской области от 11.09.2007 N 198-ОЗ "О муниципальной службе в Томской области" </t>
  </si>
  <si>
    <t xml:space="preserve">Закон Томской области от 14.05.2005 N 78-ОЗ "О гарантиях и компенсациях за счет средств областного бюджета для лиц, проживающих в местностях, приравненных к районам Крайнего Севера" </t>
  </si>
  <si>
    <t>Закон РФ от 19.02.1993 N 4520-I "О государственных гарантиях и компенсациях для лиц, работающих и проживающих в районах Крайнего Севера и приравненных к ним местностях"</t>
  </si>
  <si>
    <t>Федеральный закон от 12.06.2002 N 67-ФЗ "Об основных гарантиях избирательных прав и права на участие в референдуме граждан Российской Федерации"</t>
  </si>
  <si>
    <t>Закон Томской области от 12.01.2007 N 29-ОЗ "О референдуме Томской области и местном референдуме"</t>
  </si>
  <si>
    <t>ст. 17, п.1, п.п.1</t>
  </si>
  <si>
    <t>Гл.3, ст.17, п. 1, п.п. 9.</t>
  </si>
  <si>
    <t>Гл.3, ст.20, п. 5.</t>
  </si>
  <si>
    <t>Федеральный закон от 21.12.1996 N 159-ФЗ "О дополнительных гарантиях по социальной поддержке детей-сирот и детей, оставшихся без попечения родителей"</t>
  </si>
  <si>
    <t>Гл.3, ст.15.1. п. 1, п.п. 8.</t>
  </si>
  <si>
    <t>Постановление Администрации Колпашевского района от 02.04.2010 № 512 "Об утверждении Методологии расчёта долговой нагрузки на бюджет муниципального образования "Колпашевский район"  с учётом действующих и планируемых к принятию долговых обязательств  на  среднесрочный прогноз"</t>
  </si>
  <si>
    <t>02.04.2010, не установлен</t>
  </si>
  <si>
    <t>28.04.2014, не установлен</t>
  </si>
  <si>
    <t>16.04.2015, не установлен</t>
  </si>
  <si>
    <t>Федеральный закон от 21 июля 2005 г. N 108-ФЗ
"О Всероссийской сельскохозяйственной переписи"</t>
  </si>
  <si>
    <t>21.06.2005, не установлен</t>
  </si>
  <si>
    <t>1020</t>
  </si>
  <si>
    <t>22.06.2015, не установлен</t>
  </si>
  <si>
    <t>Решение Думы Колпашевского района от 13.08.2014 № 75 "О финансировании за счет средств бюджета муниципального образования "Колпашевский район" мероприятий, направленных на поддержку садоводчиских, огороднических и дачных некомерческих объединений"</t>
  </si>
  <si>
    <t>01.07.2010, до окончания действия ЗТО от 29.12.2005 № 248-ОЗ</t>
  </si>
  <si>
    <t>Постановление Администрации Колпашевского района от 29.12.2011 № 1426 "Об утверждении Порядка использования бюджетных ассигнований резервного фонда Администрации Колпашевского района" (в редакции от 26.01.2012 № 61, от 15.04.2014 № 344, от 03.04.2015 № 379, от 26.05.2016 № 578)</t>
  </si>
  <si>
    <t>п.2,3 порядка</t>
  </si>
  <si>
    <t>01.01.2012, не установлен</t>
  </si>
  <si>
    <t>Федеральный закон от 29.12.2006 N 264-ФЗ "О развитии сельского хозяйства"</t>
  </si>
  <si>
    <t>ст.7, п.1-2</t>
  </si>
  <si>
    <t>11.01.2007, не установлен</t>
  </si>
  <si>
    <t>Закон Томской области от 29.12.2005 N 248-ОЗ "О наделении органов местного самоуправления отдельными государственными полномочиями по государственной поддержке сельскохозяйственного производства"</t>
  </si>
  <si>
    <t>ст. 4,5</t>
  </si>
  <si>
    <t>Закон Российской Федерации от 21.02.1992 N 2395-I "О недрах"</t>
  </si>
  <si>
    <t>ст.3</t>
  </si>
  <si>
    <t>21.02.1992, не установлен</t>
  </si>
  <si>
    <t>Постановление Администрации Томской области от 17.09.2014 N 341а "О предоставлении из областного бюджета бюджетам муниципальных образований Томской области иных межбюджетных трансфертов на финансовое обеспечение мероприятий по временному социально-бытовому обустройству лиц, вынужденно покинувших территорию Украины и находящихся в помещениях, закрепленных за муниципальными учреждениями на праве оперативного управления или принадлежащих им на ином праве, определенных в качестве пунктов временного размещения"</t>
  </si>
  <si>
    <t>30.09.2014, не установлен</t>
  </si>
  <si>
    <t xml:space="preserve">Решение Думы Колпашевского района  от 23.04.2012 № 46 " О порядке расходования денежных средств, выделенных бюджету муниципального образования "Колпашевский район" из бюджета Томской области"
</t>
  </si>
  <si>
    <t>01.01.2016, не установлен</t>
  </si>
  <si>
    <t>Решение Думы Колпашевского района от 28.06.2016 № 56 "О порядке и случаях использования собственных материальных ресурсов и финансовых средств муниципального образования "Колпашевский район" для осуществления переданных полномочий по решению вопросов местного значения поселений Колпашевского района"</t>
  </si>
  <si>
    <t>28.06.2016, не установлен</t>
  </si>
  <si>
    <t>01.01.2017, не установлен</t>
  </si>
  <si>
    <t>23.05.2012, не установлен</t>
  </si>
  <si>
    <r>
      <t>наименование, номер и дата</t>
    </r>
    <r>
      <rPr>
        <b/>
        <sz val="9"/>
        <rFont val="Times New Roman"/>
        <family val="1"/>
        <charset val="204"/>
      </rPr>
      <t xml:space="preserve">
</t>
    </r>
  </si>
  <si>
    <t>01.09.2015, не установлен</t>
  </si>
  <si>
    <t>(208 567)</t>
  </si>
  <si>
    <t>Закон РФ от 09.10.1992 N 3612-I "Основы законодательства Российской Федерации о культуре"</t>
  </si>
  <si>
    <t>09.10.1992, не установлен</t>
  </si>
  <si>
    <t>Федеральный закон от 04.12.2007 N 329-ФЗ "О физической культуре и спорте в Российской Федерации"</t>
  </si>
  <si>
    <t>ст.9</t>
  </si>
  <si>
    <t>30.03.2008, не установлен</t>
  </si>
  <si>
    <t>Закон Томской области от 07.06.2010 N 94-ОЗ "О физической культуре и спорте в Томской области"</t>
  </si>
  <si>
    <t>27.06.2010, не установлен</t>
  </si>
  <si>
    <t>ст.19-1</t>
  </si>
  <si>
    <t>(499 710)</t>
  </si>
  <si>
    <t>(100 300)</t>
  </si>
  <si>
    <t>Решение Думы Колпашевского района от 19.11.2012 № 142 "Об утверждении Положения «О звании «Почётный гражданин Колпашевского района» (в редакции от 28.03.2017 № 17)</t>
  </si>
  <si>
    <t>Решение Думы Колпашевского района от 28.03.2017 № 15 "О финансировании расходов на обеспечение условий для развития физической культуры и массового спорта на территории Колпашевского района"</t>
  </si>
  <si>
    <t>Постановление Администрации Колпашевского района от 30.12.2014 № 1636 "Об утверждении Порядка организации библиотечного обслуживания населения сельских поселений Колпашевского района, комплектования и обеспечения сохранности библиотечных фондов библиотек сельских поселений Колпашевского района"</t>
  </si>
  <si>
    <t>17.06.2013, не установлен</t>
  </si>
  <si>
    <t>14.05.2015, не установлен</t>
  </si>
  <si>
    <t>(100 312)</t>
  </si>
  <si>
    <t>(100 311)</t>
  </si>
  <si>
    <t>(499 712)</t>
  </si>
  <si>
    <t>(499 713)</t>
  </si>
  <si>
    <t>(100 316)</t>
  </si>
  <si>
    <t>(100 321)</t>
  </si>
  <si>
    <t>(499 714)</t>
  </si>
  <si>
    <t>(409 702)</t>
  </si>
  <si>
    <t>(100 322)</t>
  </si>
  <si>
    <t>Решение Думы Колпашевского района от 27.04.2017 № 28 "О финансировании расходов на организацию мероприятий, направленных на закрепление специалистов в отрасли культуры"</t>
  </si>
  <si>
    <t>27.04.2017, не установлен</t>
  </si>
  <si>
    <t>(499 715)</t>
  </si>
  <si>
    <t>(100 336)</t>
  </si>
  <si>
    <t>(100 329)</t>
  </si>
  <si>
    <t>(100 338)</t>
  </si>
  <si>
    <t>(219 705)</t>
  </si>
  <si>
    <t>(499 717)</t>
  </si>
  <si>
    <t>(499 718)</t>
  </si>
  <si>
    <t>Решение Думы Колпашевского района от 28.09.2017 № 80 "О финансировании расходов, связанных с осуществлением перевозок общественным транспортом обучающихся муниципальных общеобразовательных организаций Колпашевского района"</t>
  </si>
  <si>
    <t>28.09.2017- не установлен</t>
  </si>
  <si>
    <t>Решение Думы Колпашевского района от 17.06.2013 № 58 "О порядке использования средств бюджета муниципального образования "Колпашевский район" на финансирование мероприятий, направленных на создание условий по развитию туризма" (в редакции от 28.06.2016 № 55, от 28.09.2017 № 81)</t>
  </si>
  <si>
    <t>Решение Думы Колпашевского района от 28.09.2017 № 94 "О финансировании проведения полевых археологических работ (археологическая разведка)"</t>
  </si>
  <si>
    <t>28.09.2017, не установлен</t>
  </si>
  <si>
    <t>(499 719)</t>
  </si>
  <si>
    <t>Постановление Администрации Томской области от 27.02.2008 № 32а "Об утверждении Порядка использования бюджетных ассигнований резервного фонда финансирования непредвиденных расходов Администрации Томской области"</t>
  </si>
  <si>
    <t>27.02.2008, не установлен</t>
  </si>
  <si>
    <t xml:space="preserve">01.09.2013, не указан </t>
  </si>
  <si>
    <t>24.06.2014, не установлен</t>
  </si>
  <si>
    <t>ст.40</t>
  </si>
  <si>
    <t xml:space="preserve"> 01.01.2009, не установлен</t>
  </si>
  <si>
    <t>Постановление Правительства РФ от 17.12.2010 N 1050 "О реализации отдельных мероприятий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</si>
  <si>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01.07.2010, не установлен</t>
  </si>
  <si>
    <t xml:space="preserve">Федеральный Закон от 06.10.2003 № 131-ФЗ "Об общих принципах организации местного самоуправления"
</t>
  </si>
  <si>
    <t xml:space="preserve">Ст. 15, п.1, пп.26
</t>
  </si>
  <si>
    <t xml:space="preserve">Ст. 15.1, п.1, пп.8
</t>
  </si>
  <si>
    <t>(100 305)</t>
  </si>
  <si>
    <t>(218 687)</t>
  </si>
  <si>
    <t xml:space="preserve">1.Расходные обязательства, возникшие в результате принятия нормативных правовых актов муниципального района, заключения договоров (соглашений), всего
из них:
</t>
  </si>
  <si>
    <t>1.1.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</si>
  <si>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1.1.2. 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</si>
  <si>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(605)</t>
  </si>
  <si>
    <t>Наименование полномочия, 
расходного обязательства</t>
  </si>
  <si>
    <t>Правовое основание финансового обеспечения полномочия, расходного обязательства муниципального образования</t>
  </si>
  <si>
    <t>25.03.2015, не установлен</t>
  </si>
  <si>
    <t>ст.15 п.1 пп.19</t>
  </si>
  <si>
    <t>ст.15 п.1 пп.1</t>
  </si>
  <si>
    <t>1021</t>
  </si>
  <si>
    <t>Постановление Администрации Колпашевского района от 16.05.2018 № 415 "О порядке использования средств муниципальной программы "Обеспечение безопасности населения Колпашевского района", предусмотренных на организацию видеонаблюдения в образовательных"</t>
  </si>
  <si>
    <t>16.05.2018- 20.12.2018</t>
  </si>
  <si>
    <t>1023</t>
  </si>
  <si>
    <t>(100 325)</t>
  </si>
  <si>
    <t>(414 681)</t>
  </si>
  <si>
    <t>(203 603)</t>
  </si>
  <si>
    <t>20.09.2018- 20.12.2018</t>
  </si>
  <si>
    <t>(100 342)</t>
  </si>
  <si>
    <t>(218 596)</t>
  </si>
  <si>
    <t>18.09.2018, не установлен</t>
  </si>
  <si>
    <t>Решение Думы Колпашевского района от 10.09.2012 № 118 "О порядке использования средств бюджета муниципального образования "Колпашевский район" на проведение мероприятий по предупреждению и ликвидации пследствий черезвычайных ситуаций природного и техногенного характера на территории муниципального образования "Колпашевский район" (в редакции от 28.10.2013 № 90, от 27.06.2014 № 62, от 03.10.2018 № 98)</t>
  </si>
  <si>
    <t>12.08.2014, не установлен</t>
  </si>
  <si>
    <t>1009</t>
  </si>
  <si>
    <t>1.1.1.8.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автомобильного транспорта)</t>
  </si>
  <si>
    <t>1.1.1.11. 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</si>
  <si>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1.1.1.12. 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района,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</si>
  <si>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1.1.1.13. участие в предупреждении и ликвидации последствий чрезвычайных ситуаций на территории муниципального района</t>
  </si>
  <si>
    <t>1.1.1.16. организация мероприятий межпоселенческого характера по охране окружающей среды</t>
  </si>
  <si>
    <t>1022</t>
  </si>
  <si>
    <t>1.1.1.21.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</si>
  <si>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1.1.1.22.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</si>
  <si>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1.1.1.23. 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</si>
  <si>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1.1.1.32.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</si>
  <si>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1.1.1.33.   создание условий для развития местного традиционного народного художественного творчества в поселениях, входящих в состав муниципального района</t>
  </si>
  <si>
    <t>1.1.1.38. осуществление мероприятий по обеспечению безопасности людей на водных объектах, охране их жизни и здоровья</t>
  </si>
  <si>
    <t>1.1.1.39. создание условий для расширения рынка сельскохозяйственной продукции, сырья и продовольствия</t>
  </si>
  <si>
    <t>1044</t>
  </si>
  <si>
    <t>1.1.1.42. содействие развитию малого и среднего предпринимательства</t>
  </si>
  <si>
    <t>1045</t>
  </si>
  <si>
    <t>1.1.1.43. оказание поддержки социально ориентированным некоммерческим организациям, благотворительной деятельности и добровольчеству</t>
  </si>
  <si>
    <t>1046</t>
  </si>
  <si>
    <t>1.1.1.44. обеспечение условий для развития на территории муниципального района физической культуры, школьного спорта и массового спорта</t>
  </si>
  <si>
    <t>1.1.1.45. организация проведения официальных физкультурно-оздоровительных и спортивных мероприятий муниципального района</t>
  </si>
  <si>
    <t>1.1.2.48.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</si>
  <si>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1.1.2.49.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</si>
  <si>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</si>
  <si>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</si>
  <si>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1.2.3. обслуживание муниципального долга без учета обслуживания долговых обязательств в части процентов, пеней и штрафных санкций по бюджетным кредитам, полученным из региональных и местных бюджетов</t>
  </si>
  <si>
    <t>1.2.4.  обслуживание долговых обязательств в части процентов, пеней и штрафных санкций по бюджетным кредитам, полученным из региональных и местных бюджетов</t>
  </si>
  <si>
    <t>1.2.8.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</si>
  <si>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1.3.3.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</si>
  <si>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1.3.3.3. дополнительные меры социальной поддержки и социальной помощи для отдельных категорий граждан</t>
  </si>
  <si>
    <t>1.3.4.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</si>
  <si>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1600</t>
  </si>
  <si>
    <t>1.4.1. за счет субвенций, предоставленных из федерального бюджета, всего</t>
  </si>
  <si>
    <t>1703 (586)</t>
  </si>
  <si>
    <t>1.4.2. за счет субвенций, предоставленных из бюджета субъекта Российской Федерации, всего</t>
  </si>
  <si>
    <t>1.4.2.28.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</si>
  <si>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1828 (562)</t>
  </si>
  <si>
    <t>1.5.3.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</si>
  <si>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1.6.3.2.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</si>
  <si>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1.6.4. по предоставлению иных межбюджетных трансфертов, всего</t>
  </si>
  <si>
    <t>1.6.4.2. в  иных  случаях, не связанных с    заключением   соглашений, предусмотренных в подпункте  1.6.4.1., всего</t>
  </si>
  <si>
    <t xml:space="preserve">1.6.4.2.1. владение, пользование и распоряжение имуществом, находящимся в муниципальной собственности городского и сельского поселения
</t>
  </si>
  <si>
    <t>1.6.4.2.2. организация в границах городского и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</si>
  <si>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2305</t>
  </si>
  <si>
    <t>2307</t>
  </si>
  <si>
    <t>1.6.4.2.11. 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</si>
  <si>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2311</t>
  </si>
  <si>
    <t>1.6.4.2.11.1 ИМБТ на организацию видионаблюдения в местах массового скопления людей</t>
  </si>
  <si>
    <t>1.6.4.2.21. организация проведения официальных физкультурно-оздоровительных и спортивных мероприятий городского и сельского поселения</t>
  </si>
  <si>
    <t>2321</t>
  </si>
  <si>
    <t>1.6.4.2.26. организация благоустройства территории городского и сельского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</si>
  <si>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1.6.4.2.29. утверждение генеральных планов городского и сельского поселения, правил землепользования и застройки, утверждение подготовленной на основе генеральных планов городского и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и сельского поселения, утверждение местных нормативов градостроительного проектирования городского и сельского поселений, резервирование земель и изъятие земельных участков в границах городского и сельского поселения для муниципальных нужд, осуществление муниципального земельного контроля в границах городского и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</si>
  <si>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1.6.4.2.48.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</si>
  <si>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2348 (100 323)</t>
  </si>
  <si>
    <t>1.6.4.2.49. создание условий для развития туризма</t>
  </si>
  <si>
    <t>1.6.4.2.50. обеспечение сбалансированности бюджетов городских и сельских поселений</t>
  </si>
  <si>
    <t>2350</t>
  </si>
  <si>
    <t>1.4.1.11. на выплату единовременного пособия при всех формах устройства детей, лишенных родительского попечения, в семью</t>
  </si>
  <si>
    <t>2003 (309 572) (309 592)</t>
  </si>
  <si>
    <t>(310 580)</t>
  </si>
  <si>
    <t>(312 551) (323 554)</t>
  </si>
  <si>
    <t>(311 606 312 556)</t>
  </si>
  <si>
    <t>(303 558)</t>
  </si>
  <si>
    <t>(304 581)</t>
  </si>
  <si>
    <t>(313 553)</t>
  </si>
  <si>
    <t>(305 557)</t>
  </si>
  <si>
    <t>(312 562)</t>
  </si>
  <si>
    <t xml:space="preserve">ст. 9, ст. 40 </t>
  </si>
  <si>
    <t>Федеральный закон от 07.02.2011 N 6-ФЗ "Об общих принципах организации и деятельности контрольно-счетных органов субъектов Российской Федерации и муниципальных образований"</t>
  </si>
  <si>
    <t>ст. 20</t>
  </si>
  <si>
    <t>01.10.2011, не установлен</t>
  </si>
  <si>
    <t>Закон РФ от 19.02.1993 г. N 4520-I "О государственных гарантиях и компенсациях для лиц, работающих и проживающих в районах Крайнего Севера и приравненных к ним местностях"</t>
  </si>
  <si>
    <t>ст. 33, ст. 35</t>
  </si>
  <si>
    <t>01.06.1993, не установлен</t>
  </si>
  <si>
    <t>Закон Томской области от 14.05.2005 N 78-ОЗ "О гарантиях и компенсациях для лиц, проживающих в местностях, приравненных к районам Крайнего Севера"</t>
  </si>
  <si>
    <t>ст. 4, ст.5</t>
  </si>
  <si>
    <t>гл. 8 Положения</t>
  </si>
  <si>
    <t>Федеральный закон от 21.12.1994 N 68-ФЗ "О защите населения и территорий от чрезвычайных ситуаций природного и техногенного характера"</t>
  </si>
  <si>
    <t>Решение Думы Колпашевского района от 10.09.2012 № 118 "О порядке использования средств бюджета муниципального образования "Колпашевский район" на проведение мероприятий по предупреждению и ликвидации чрезвычайных ситуаций природного и техногенного характера на территории муниципального образования "Колпашевский район" (в редакции от 28.10.2013 № 90, от 27.06.2014 № 62, от 03.10.2018 № 98)</t>
  </si>
  <si>
    <t>п. 3</t>
  </si>
  <si>
    <t>01.01.2019- 31.12.2024</t>
  </si>
  <si>
    <t>ст. 2</t>
  </si>
  <si>
    <t>ст. 17, п.1, п.п.8.1; ст.34, п.9</t>
  </si>
  <si>
    <t>п. 3.2.</t>
  </si>
  <si>
    <t>ст.10</t>
  </si>
  <si>
    <t>ст.2</t>
  </si>
  <si>
    <t>01.06.2013, не установлен</t>
  </si>
  <si>
    <t>Постановление Администрации Колпашевского района от 02.07.2013 № 625 "Об установлении расходного обязательства муниципального образования "Колпашевский район" по осуществлению отдельных государственных полномочий по Томской области по регулированию числен</t>
  </si>
  <si>
    <t>(306 555)</t>
  </si>
  <si>
    <t>(306 690)</t>
  </si>
  <si>
    <t>ст. 4</t>
  </si>
  <si>
    <t>Постановление Администрации Колпашевского района от 20.09.2018 № 1006 "О порядке использования средств межбюджетного трансферта, выделенного из бюджета Томской области по итогам проведения областного ежегодного конкурса на лучшее муниципальное образование Томской области по профилактике правонарушений" (в редакции от 24.12.2018 № 1426, от 26.12.2018 № 1448)</t>
  </si>
  <si>
    <t>Постановление Администрации Томской области от 06.09.2013 N 367а "О Порядке предоставления иных межбюджетных трансфертов на организацию системы выявления, сопровождения одаренных детей"</t>
  </si>
  <si>
    <t>06.09.2013, не установлен</t>
  </si>
  <si>
    <t>Постановление Губернатора Томской области от 10.02.2012 N 13 "Об учреждении ежемесячной стипендии Губернатора Томской области молодым учителям областных государственных и муниципальных образовательных организаций Томской области"</t>
  </si>
  <si>
    <t>Решение Думы Колпашевского района от 18.03.2011 № 23 "Об организации проведения районных мероприятий и обеспечении участия в мероприятиях регионального, межрегионального, федерального уровней в сфере образования" (в редакции от 16.12.2011 № 167, от 17.06.2013 № 56, от 28.05.2014 № 51, от 02.11.2015 № 6, от 30.05.2016 № 41, от 24.11.2016 № 112, от 16.02.2017 № 3)</t>
  </si>
  <si>
    <t xml:space="preserve"> ст. 9, ст. 40</t>
  </si>
  <si>
    <t>Федеральный Закон от 29.12.2012 № 273-ФЗ "Об образовании в РФ"</t>
  </si>
  <si>
    <t>Гл. 12, ст. 89, п. 3</t>
  </si>
  <si>
    <t>ст. 4, п. 5</t>
  </si>
  <si>
    <t>ст.2, ст.4</t>
  </si>
  <si>
    <t>1.1.1.44.3. субсидиии местным бюджетам на обеспечение условий для развития физической культуры и массового спорта</t>
  </si>
  <si>
    <t>1.6.4.2.11.2. Иные межбюджетные трансферты на проведение областного ежегодного конкурса на лучшее муниципальное образование Томской области по профилактике правонарушений</t>
  </si>
  <si>
    <t>Закон Томской области от 13.06.2007 № 112-ОЗ "О реализации государственной политики в сфере культуры и искусства на территории Томской области"</t>
  </si>
  <si>
    <t>п.п.6 п.5 Порядка</t>
  </si>
  <si>
    <t>Гл.3, ст.15, п.1,  п.п. 19</t>
  </si>
  <si>
    <t>Федеральный закон от 29 декабря 1994 г. N 78-ФЗ "О библиотечном деле"</t>
  </si>
  <si>
    <t>ст. 15, п. 2</t>
  </si>
  <si>
    <t>ст.24</t>
  </si>
  <si>
    <t>09.10.1997, не установлен</t>
  </si>
  <si>
    <t>Закон Томской области от 09.10.1997 "О библиотечном деле и обязательном экземпляре документов в Томской области"</t>
  </si>
  <si>
    <t>ст.15 п.1 пп.19.1</t>
  </si>
  <si>
    <t>прил.1 к особенностям</t>
  </si>
  <si>
    <t>ст. 5</t>
  </si>
  <si>
    <t>Постановление Администрации Колпашевского района от 29.06.2010 № 846 "Об установлении расходных обязательств по осуществлению отдельных государственных полномочий по регулированию тарифов на перевозки пассажиров и багажа всеми видами общественного траснпорта в городском, пригородном и междугородном сообщении (кроме железнодорожного транспорта) по городским, пригородным и междугородным муниципальным маршрутам" (в редакции от 14.01.2016 № 9)</t>
  </si>
  <si>
    <t xml:space="preserve">Закон Томской области от 13.08.2007 N 170-ОЗ "О межбюджетных отношениях в Томской области" </t>
  </si>
  <si>
    <t>(201 579)</t>
  </si>
  <si>
    <t>2329</t>
  </si>
  <si>
    <t>1.1.1.25. 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</si>
  <si>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(208 543)</t>
  </si>
  <si>
    <t>(100 310)</t>
  </si>
  <si>
    <t>Решение Думы Колпашевского района от 28.02.2019 № 19 "О мерах по реализации постановления Администрации Томской области от 24 октября 2018 г. N 415а "Об утверждении Методики определения размера субвенций местным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Томской области и определении нормативов расходов на обеспечение государственных гарантий реализации прав"</t>
  </si>
  <si>
    <t>01.01.2019, не установлен</t>
  </si>
  <si>
    <t>(209 533)</t>
  </si>
  <si>
    <t>(209 530)</t>
  </si>
  <si>
    <t>(209 531)</t>
  </si>
  <si>
    <t>(209 532)</t>
  </si>
  <si>
    <t>(309 701)</t>
  </si>
  <si>
    <t>1898 (309 572)</t>
  </si>
  <si>
    <t>Решение Думы Колпашевского района от 27.11.2015 № 37 "О финансировании расходов  на создание условий, обеспечивающих приток педагогических кадров в муниципальную систему образования Колпашевского района" (в редакции от 31.05.2018 № 34, от 28.08.2018 № 65, от 24.04.2019 № 38)</t>
  </si>
  <si>
    <t>(221 521)</t>
  </si>
  <si>
    <t>2331</t>
  </si>
  <si>
    <t>(209 524)</t>
  </si>
  <si>
    <t>1.1.1.34. 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</si>
  <si>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t>31.07.2019, не установлен</t>
  </si>
  <si>
    <t>Постановление Администрации Колпашевского района от 22.11.2018 № 1261 "Об утверждении Порядка организации регулярных перевозок автомобильным транспортом в границах одного сельского поселения, в границах двух и более поселений муниципального образования "Колпашевский район"</t>
  </si>
  <si>
    <t>22.11.2018, не установлен</t>
  </si>
  <si>
    <t>раздел IV Положения</t>
  </si>
  <si>
    <t>18.07.2019, не установлен</t>
  </si>
  <si>
    <t>Постановление Администрации Колпашевского района от 30.06.2010 № 851 "Об установлении расходных обязательств по осуществлению отдельных государственных полномочий, переданных в соответствие с п.5 ст.1 Закона Томской области от 15.12.2004 № 246-ОЗ" (в редакции от 13.03.2014 № 221, от 14.08.2019 № 928)</t>
  </si>
  <si>
    <t>1.6.2.47. участие в соответствии с Федеральным законом от 24 июля 2007 г. № 221-ФЗ «О государственном кадастре недвижимости» в выполнении комплексных кадастровых работ</t>
  </si>
  <si>
    <t>13.07.2010, не установлен</t>
  </si>
  <si>
    <t>1854 (691)</t>
  </si>
  <si>
    <t>(100 309)</t>
  </si>
  <si>
    <t xml:space="preserve">1.6.4.2.7. создание условий для предоставления транспортных услуг населению и организация транспортного обслуживания населения в границах городского и сельского поселения (в части водного транспорта) </t>
  </si>
  <si>
    <t xml:space="preserve">Решение Думы Колпашевского района от 23.04.2012 № 67 "О порядке использования средств бюджета муниципального образования «Колпашевский район» на реализацию мероприятий по созданию условий для обеспечения поселений, входящих в состав Колпашевского района, услугами по организации досуга и услугами организаций культуры" (в редакции от 25.11.2013 № 105, от 22.09.2014 № 92, от 15.12.2014 № 153, от 25.03.2015 № 27, от 07.09.2015 № 82, от 27.11.2015 № 38, от 30.05.2016 № 48, от 20.10.2016 № 97, от 25.11.2019 № 132)
</t>
  </si>
  <si>
    <t>Постановление Администрации Колпашевского района от 06.05.2019 № 448 "О порядке распределения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Томской области" (в редакции от 29.11.2019 № 1340)</t>
  </si>
  <si>
    <t>1.2.19.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</si>
  <si>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2349</t>
  </si>
  <si>
    <t>Решение Думы Колпашевского района от 28.10.2013 № 91 "О создании муниципального дорожного фонда муниципального образования "Колпашевский район" и утверждении положения о порядке формирования и использования бюджетных ассигнований муниципального дорожного фонда муниципального образования "Колпашевский район" (в редакции от 28.04.2014 № 38, от 18.12.2019 № 150)</t>
  </si>
  <si>
    <t>(311 556)</t>
  </si>
  <si>
    <t>(312 562) (311 556)</t>
  </si>
  <si>
    <t>(100 306)</t>
  </si>
  <si>
    <t>1.1.1.84. создание условий для развития сельскохозяйственного производства в поселениях в сфере рыбоводства и рыболовства</t>
  </si>
  <si>
    <t>1086 (206 507)</t>
  </si>
  <si>
    <t>01.01.2020, не указан</t>
  </si>
  <si>
    <t>31.01.2020, не установлен</t>
  </si>
  <si>
    <t>01.01.2020, не установлен</t>
  </si>
  <si>
    <t>Постановление Администрации Томской области от 26.09.2019 N 340а "Об утверждении государственной программы "Развитие транспортной системы в Томской области"</t>
  </si>
  <si>
    <t>Постановление Администрации Томской области от 27.09.2019 N 342а "Об утверждении государственной программы "Развитие образования в Томской области"</t>
  </si>
  <si>
    <t>Постановление Администрации Томской области от 27.09.2019 N 361а "Об утверждении государственной программы "Социальная поддержка населения Томской области"</t>
  </si>
  <si>
    <t>Подпрограмма 4</t>
  </si>
  <si>
    <t>Постановление Администрации Томской области от 27.09.2019 № 347а "Об утверждении государственной программы "Развитие культуры и туризма в Томской области"</t>
  </si>
  <si>
    <t>Прил. № 4</t>
  </si>
  <si>
    <t>Прил. № 3</t>
  </si>
  <si>
    <t>Постановление Администрации Томской области от 27.09.2019 № 360а "Об утверждении государственной программы "Развитие предпринимательства и повышение эффективности государственного управления социально-экономическим развитием Томской области"</t>
  </si>
  <si>
    <t>Подпрограмма 1, соотв. Порядок</t>
  </si>
  <si>
    <t>Постановление Администрации Томской области от 27.09.2019 N 345а "Об утверждении государственной программы "Развитие молодежной политики, физической культуры и спорта в Томской области"</t>
  </si>
  <si>
    <t>Прил. № 8 подпр 2</t>
  </si>
  <si>
    <t>Прил. к подпр 1</t>
  </si>
  <si>
    <t>Прил. № 5 к подпр 2</t>
  </si>
  <si>
    <t>Решение Думы Колпашевского района от 29.11.2006 № 240 "Об утверждении Положения "Об организации и осуществлении мероприятий межпоселенческого характера по работе с детьми и молодежью на территории муниципального образования "Колпашевский район" (в редакции от 15.12.2014 № 162, от 25.03.2015 № 31, от 18.12.2019 № 142, от 26.02.2020 № 27)</t>
  </si>
  <si>
    <t>Решение Думы Колпашевского района от 18.12.2019 № 141 "О принятии муниципальным образованием "Колпашевский район" осуществления части полномочий по решению вопроса местного значения "Организация библиотечного обслуживания населения, комплектование и обеспечение сохранности библиотечных фондов библиотек поселения"</t>
  </si>
  <si>
    <t>Решение Думы Колпашевского района от 25.03.2015 № 29 "О принятии муниципальным образованием "Колпашевский район" осуществления части полномочий по решению вопросов местного значения" (в редакции от 24.08.2016 № 65, от 18.12.2019 № 143)</t>
  </si>
  <si>
    <t>Решение Думы Колпашевского района от 15.12.2014 № 151 "Об Управлении по культуре, спорту и молодёжной политике Администрации Колпашевского района и утверждении Положения об Управлении по культуре, спорту и молодёжной политике Администрации Колпашевского района" (в редакции от 28.06.2016 № 54, 25.09.2019 № 99)</t>
  </si>
  <si>
    <t>Решение Думы Колпашевского района от 31.05.2006 № 154 "Об учреждении Управления образования Администрации Колпашевского района и утверждении Положения об Управлении образования Администрации Колпашевского района" (в редакции от 31.10.2006 № 221, от 14.02.2011 № 2, от 20.06.2011 № 58, от 30.01.2014 № 4, от 29.05.2015 № 45,от 02.11.2015 № 7, от 30.05.2017 № 40)</t>
  </si>
  <si>
    <t>ст. 1-2</t>
  </si>
  <si>
    <t>п. 44.2) ст. 26.3.</t>
  </si>
  <si>
    <t>19.10.1999, не установлен</t>
  </si>
  <si>
    <t>Федеральный закон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</si>
  <si>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Постановление Администрации Колпашевского района от 30.06.2010 № 861 "Об установлении расходного бязательства МО "Колпашевский район" по осуществлению государственных полномочий по регистрации и учету граждан, имеющих право на получение социальных выплат для приобретения жилья в связи с переселением из районов Крайнего Севера и приравненных к ним местностей" (в редакции от 18.03.2015 № 307)</t>
  </si>
  <si>
    <t>Постановление Администрации Томской области от 26.09.2019 года № 339а «Об утверждении государственной программы «Улучшение инвестиционного климата и развитие экспорта Томской области»</t>
  </si>
  <si>
    <t>Подпр.3
прил. 1</t>
  </si>
  <si>
    <t>Прил.2</t>
  </si>
  <si>
    <t>Постановление Администрации Томской области от 26.09.2019 N 340а "Об утверждении государственной программы "Развитие транспортной инфраструктуры в Томской области"</t>
  </si>
  <si>
    <t>Подпр.2
прил.1</t>
  </si>
  <si>
    <t>Подпр.1
прил.2</t>
  </si>
  <si>
    <t>Постановление Администрации Томской области от 27.09.2019 N 345а "Об утверждении государственной программы "Развитие молодежной политики, физической культуры и спорта в Томской области"</t>
  </si>
  <si>
    <t>Подпр.2 Прил.8</t>
  </si>
  <si>
    <t>01.01.2020- 31.12.2024</t>
  </si>
  <si>
    <t>Постановление Администрации томской области от 26.09.2019 № 338а "Об утверждении государственной программы "Развитие сельского хозяйства, рынков сырья и продовольствия в Томской области"</t>
  </si>
  <si>
    <t>Прил. к подпр.1</t>
  </si>
  <si>
    <t>01.01.2020-31.12.2024</t>
  </si>
  <si>
    <t>Постановление Администрации Томской области от 25.09.2019 N 337а "Об утверждении государственной программы "Жилье и городская среда Томской области"</t>
  </si>
  <si>
    <t>Подпр. 1 прил.1</t>
  </si>
  <si>
    <t>1.4.1.30. осуществление полномочий по проведению Всероссийской переписи населения 2020 года</t>
  </si>
  <si>
    <t>1731 (303 506)</t>
  </si>
  <si>
    <t>1.4.2.7. на поддержку сельскохозяйственного производства (за исключением мероприятий, предусмотренных федеральными целевыми программами), разработку и реализацию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разработки и реализации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t>
  </si>
  <si>
    <t>1.5.1.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городской местности)</t>
  </si>
  <si>
    <t>1.5.2.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сельской местности)</t>
  </si>
  <si>
    <t>2001 (309 569, 309 588)</t>
  </si>
  <si>
    <t>2002 (309 569, 309 588)</t>
  </si>
  <si>
    <t>2106 (584)</t>
  </si>
  <si>
    <t>2107 (552, 563, 582)</t>
  </si>
  <si>
    <t>16.04.2020, не установлен</t>
  </si>
  <si>
    <t>Постановление Администрации Колпашевского района от 30.06.2010г. № 858 "Об установлении расходного обязательства МО "Колпашевский район" по осуществлению отдельных государственных полномочий по ТО по хранению, комплектованию, учету и использованию архивных документов, относящихся к государственной собственности ТО и находящихся на территории МО "Колпашевский район" (в редакции от 07.04.2011 № 322, от 05.11.2013 № 1170, от 06.05.2020 № 449)</t>
  </si>
  <si>
    <t>(409 611)</t>
  </si>
  <si>
    <t>(209 575)</t>
  </si>
  <si>
    <t>(209 576)</t>
  </si>
  <si>
    <t>Решение Думы Колпашевского района от 26.12.2007 № 401 "О порядке расходования средств местного бюджета на финансирование проведения муниципальных выборов" (в редакции от 29.07.2020 № 80)</t>
  </si>
  <si>
    <t>11.08.2020, не установлен</t>
  </si>
  <si>
    <t>Постановление Администрации Колпашевского района от 27.08.2020 № 919 "О порядке и сроках расходования средств субсидии из областного бюджета местным бюджетам в Томской области на реализацию мероприятий по развитию рыбохозяйственного комплекса"</t>
  </si>
  <si>
    <t>27.08.2020- 31.12.2020</t>
  </si>
  <si>
    <t>Решение Думы Колпашевского района от 16.07.2012 № 91 "Об утверждении Порядка предоставления дотаций на выравнивание бюджетной обеспеченности поселений из бюджета муниципального образования «Колпашевский район» (в редакции от 25.11.2019 № 121, от 12.10.2020 № 7)</t>
  </si>
  <si>
    <t>1.6.4.2.53. Средства резервных фондов администраций муниципальных образований для финансирования непредвиденных расходов</t>
  </si>
  <si>
    <t>2353 (499 720)</t>
  </si>
  <si>
    <t>Постановление Администрации Томской области от 30.10.2020 N 703-ра "Об использовании бюджетных ассигнований резервного фонда финансирования непредвиденных расходов Администрации Томской области"</t>
  </si>
  <si>
    <t>03.09.2020- 31.12.2020</t>
  </si>
  <si>
    <t>Постановление Администрации Колпашевского района от 30.06.2010 № 858 "Об установлении расходного обязательства МО "Колпашевский район" по осуществлению отдельных государственных полномочий по ТО по хранению, комплектованию, учету и использованию архивных документов, относящихся к государственной собственности ТО и находящихся на территории МО "Колпашевский район" (в редакции от 07.04.2011 № 322, от 05.11.2013 № 1170, от 06.05.2020№ 449)</t>
  </si>
  <si>
    <t>Решение Думы Колпашевского района от 23.11.2020 № 20 "О предоставлении иного межбюджетного трансферта бюджету муниципального образования "Колпашевское городское поселение" на оплату командировочных расходов победителям конкурса на звание "Лучший муниципальный служащий в Томской области" в 2019 году"</t>
  </si>
  <si>
    <t>Решение Думы Колпашевского района от 28.10.2013 № 91 "О создании муниципального дорожного фонда муниципального образования "Колпашевский район" и утверждении положения о порядке формирования и использования бюджетных ассигнований муниципального дорожного фонда муниципального образования "Колпашевский район" (в редакции от 28.04.2014 № 38, от 18.12.2019 № 150, от 12.10.2020 № 10)</t>
  </si>
  <si>
    <t>Решение Думы Колпашевского района от 29.04.2013 № 37 "О порядке использования средств бюджета муниципального образования "Колпашевский район" на проведение мероприятий по улучшению жилищных условий граждан, проживающих в сельской местности, в том числе молодых семей и молодых специалистов" (в редакции от 31.07.2015 № 71, от 23.11.2020 № 31)</t>
  </si>
  <si>
    <t>(499 721)</t>
  </si>
  <si>
    <t>п.8 ст.2</t>
  </si>
  <si>
    <t>Закон Томской области от 15.09.2020 № 114-ОЗ "О наделении органов местного самоуправления муниципальных районов Томской области отдельными государственными полномочиями по расчету и предоставлению бюджетам поселений субвенций на осуществление полномочий по первичному воинскому учету на территориях, где отсутствуют военные комиссариаты"</t>
  </si>
  <si>
    <t>Федеральный закон от 13.07.2015 г. N 220-ФЗ "Об организации регулярных перевозок пассажиров и багажа автомобильным транспортом и городским наземным электрическим транспортом в Российской Федерации и о внесении изменений в отдельные законодательные акты Российской Федерации"</t>
  </si>
  <si>
    <t>п. 1 ст. 15</t>
  </si>
  <si>
    <t>13.07.2020, не установлен</t>
  </si>
  <si>
    <t>13.07.2015, не установлен</t>
  </si>
  <si>
    <t>(222 561)</t>
  </si>
  <si>
    <t>(222 573)</t>
  </si>
  <si>
    <t>п. 2</t>
  </si>
  <si>
    <t>1712 (311 663)</t>
  </si>
  <si>
    <t>20.01.2021, не установлен</t>
  </si>
  <si>
    <t>Решение Думы Колпашевского района от 31.01.2020 № 16 "О порядке предоставления иных межбюджетных трансфертов из бюджета муниципального образования "Колпашевский район" бюджетам поселений Колпашевского района на исполнение судебных актов по обеспечению жилыми помещениями детей - сирот и детей, оставшихся без попечения родителей, а также лиц из их числа" (в редакции от 25.01.2021 № 15)</t>
  </si>
  <si>
    <t>Постановление Администрации Томской области от 14.08.2020 N 402а "Об утверждении Правил предоставления и Методики распределения иных межбюджетных трансфертов на исполнение судебных актов по обеспечению жилыми помещениями детей-сирот и детей, оставшихся без попечения родителей, а также лиц из их числа"</t>
  </si>
  <si>
    <t>28.08.2020, не установлен</t>
  </si>
  <si>
    <t>25.01.2021, не установлен</t>
  </si>
  <si>
    <t>Постановление Администрации Томской области от 04.03.2009 № 40а "Об утверждении Порядка расходования местными бюджетами субвенций из областного бюджета на осуществление государственных полномочий по обеспечению жилыми помещениями детей-сирот и детей, оставшихся без попечения родителей, а также лиц из их числа</t>
  </si>
  <si>
    <t>Постановление Администрации Колпашевского района от 29.01.2021 № 134 "Об установлении расходного обязательства муниципального образования "Колпашевский район" на осуществление переданных отдельных государственных полномочий по подготовке и проведению на территории Томской области Всероссийской переписи населения 2020 года"</t>
  </si>
  <si>
    <t>29.01.2021 в период действия ЗТО от 07.04.2020 № 24-ОЗ</t>
  </si>
  <si>
    <t>Закон Томской области от 07.04.2020 № 24-ОЗ "О наделении органов местного самоуправления отдельными государственными полномочиями по подготовке и проведению на территории Томской области Всероссийской переписи населения 2020 года"</t>
  </si>
  <si>
    <t>20.04.2020- 31.12.2021</t>
  </si>
  <si>
    <t>Решение Думы Колпашевского района от 15.12.2014 № 136 "О финансировании за счёт средств бюджета муниципального образования "Колпашевский район" мероприятий по содержанию комплекса спортивных сооружений муниципального автономного образовательного учреждения дополнительного образования детей "Детско-юношеская спортивная школа имени О. Рахматулиной"</t>
  </si>
  <si>
    <t>Подпр2 Прил. № 1</t>
  </si>
  <si>
    <t>Постановление Администрации Томской области от 27.09.2019 N 347а "Об утверждении государственной программы "Развитие культуры и туризма в Томской области"</t>
  </si>
  <si>
    <t>Подпр.2</t>
  </si>
  <si>
    <t>(213 657)</t>
  </si>
  <si>
    <t>(213 658)</t>
  </si>
  <si>
    <t>(100 315)</t>
  </si>
  <si>
    <t>(100 308)</t>
  </si>
  <si>
    <t>1.1.1.69. создание условий для массового отдыха жителей сельского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 на территории сельского поселения</t>
  </si>
  <si>
    <t>1071</t>
  </si>
  <si>
    <t>Постановление Администрации Колпашевского района от 19.03.2021 № 333 "О порядке и сроках расходования средств субсидии на обеспечение образовательных организаций материально-технической базой для внедрения цифровой образовательной среды"</t>
  </si>
  <si>
    <t>(210 500)</t>
  </si>
  <si>
    <t>(221 523)</t>
  </si>
  <si>
    <t>Постановление Администрации Колпашевского района от 29.04.2021 № 514 "О порядке и сроках расходования бюджетных ассигнований резервного фонда финансирования непредвиденных расходов Администрации Томской области, об утверждении порядка определения объёма и условий предоставления Муниципальному бюджетному учреждению «Центр культуры и досуга» субсидии на иные цели из бюджета муниципального образования «Колпашевский район» за счет средств резервного фонда финансирования непредвиденных расходов Администрации Томской области"</t>
  </si>
  <si>
    <t>29.04.2021- 31.12.2021</t>
  </si>
  <si>
    <t>1.6.4.2.5. обеспечение проживающих в городского и сельского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</si>
  <si>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1.7. Условно утвержденные расходы на первый и второй годы планового периода в соответствии с решением о местном бюджете муниципальног района</t>
  </si>
  <si>
    <t>2400</t>
  </si>
  <si>
    <t>1.1.1. по перечню, предусмотренному частью 4 статьи 14 и частью 1 статьи 15 Федерального закона от 6 октября 2003 г. № 131-ФЗ «Об общих принципах организации местного самоуправления в Российской Федерации», всего</t>
  </si>
  <si>
    <t>1.1.1.7.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водного транспорта)</t>
  </si>
  <si>
    <t>1.1.1.17.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</si>
  <si>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1.1.1.18.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городской местности)</t>
  </si>
  <si>
    <t>1.1.1.19.организация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сельской местности)</t>
  </si>
  <si>
    <t>1.1.1.20.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</si>
  <si>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1.1.1.24.   участие в организации деятельности по накоплению (в том числе раздельному накоплению),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</si>
  <si>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1.1.1.57.обеспечение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на территории сельского поселения</t>
  </si>
  <si>
    <t>1.1.1.83. участие в соответствии с федеральным законом в выполнении комплексных кадастровых работ</t>
  </si>
  <si>
    <t>1.2.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</si>
  <si>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 xml:space="preserve">1.2.21.установление гарантий и компенсаций расходов для лиц, работающих и проживающих в районах Крайнего Севера и приравненных к ним местностях – статьи 33 и 35 Закона Российской Федерации от 19 февраля 1993 г. № 4520-1 «О государственных гарантиях и компенсациях для лиц, работающих и проживающих в районах Крайнего Севера и приравненных к ним местностях», статьи 325 и 326 Трудового кодекса Российской Федерации </t>
  </si>
  <si>
    <t>1.3.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права на решение вопросов, не отнесенных к вопросам местного значения муниципального района, всего</t>
  </si>
  <si>
    <t>1.3.1. по перечню, предусмотренному частью 1 статьи 15.1 Федерального закона от 6 октября 2003 г. № 131-ФЗ «Об общих принципах организации местного самоуправления в Российской Федерации», всего</t>
  </si>
  <si>
    <t>1.4.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</si>
  <si>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1.4.1.2.по составлению (изменению) списков кандидатов в присяжные заседатели</t>
  </si>
  <si>
    <t>1.5. отдельные государственные полномочия, не переданные, но осуществляемые органами местного самоуправления муниципального района за счет субвенций из бюджета субъекта Российской Федерации</t>
  </si>
  <si>
    <t>1.6.Расходные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</si>
  <si>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1.2.24. Полномочия по обеспечению обучающихся по образовательным программа начального общего образования в государственных и муниципальных образовательных организациях бесплатным горячим питанием и по реализации мероприятий по обеспечению условий для организации бесплатного горячего питания обучающихся по образовательным программам начального общего образования в государственных и муниципальных образовательных организациях – часть 2.1 статьи 37 Федерального закона от 29 декабря 2012 г. № 273-ФЗ «Об образовании в Российской Федерации», пункт 3 статьи 3 Федерального закона от 1 марта 2020 г. № 47-ФЗ "О внесении изменений в Федеральный закон "О качестве и безопасности пищевых продуктов" и статью 37 Федерального закона "Об образовании в Российской Федерации"</t>
  </si>
  <si>
    <t xml:space="preserve">1.6.4.2.8. создание условий для предоставления транспортных услуг населению и организация транспортного обслуживания населения в границах городского и сельского поселения (в части автомобильного транспорта) </t>
  </si>
  <si>
    <t>Решение Думы Колпашевского района от 13.08.2014 № 82 "О размере, условиях и порядке предоставления компенсации расходов по оплате стоимости проезда и провоза багажа в пределах РФ к месту использования отпуска и обратно для лиц, работающих в органах местного самоуправления муниципального образования "Колпашевский район", в органах Администрации Колпашевского района и муниципальных учреждениях, финансируемых из бюджета муниципального образования "Колпашевский район", и о размере, условиях и порядке предоставления компенсации расходов по оплате стоимости проезда и провоза багажа в пределах РФ при переезде к новому месту жительства, в другую местность, за пределы Колпашевского района" (в редакции от 22.09.2014 № 89, от 27.10.2014 № 116, от 28.08.2018 № 63, от 30.06.2021 № 73)</t>
  </si>
  <si>
    <t>Постановление Администрации Колпашевского района от 18.07.2019 № 772 "Об утверждении Положения об организации отдыха детей в каникулярное время на территории муниципального образования "Колпашевский район" (в редакции от 15.07.2021 № 875)</t>
  </si>
  <si>
    <t>10.08.2021, не установлен</t>
  </si>
  <si>
    <t>(499 723)</t>
  </si>
  <si>
    <t>Постановление Главы Колпашевского района от 08.10.2021 № 119 "О порядке и сроках расходования иного межбюджетного трансферта из резервного фонда финансирования непредвиденных расходов Администрации Томской области на оплату расходов, связанных с приобретением ручных металлодетекторов в целях обеспечения безопасности образовательных организаций" (распоряжение АТО от 03.09.2021 № 510-ра)</t>
  </si>
  <si>
    <t>08.10.2021- 01.12.2021</t>
  </si>
  <si>
    <t>(210 620)</t>
  </si>
  <si>
    <t>(210 621)</t>
  </si>
  <si>
    <t>Постановление Администрации Колпашевского района от 16.12.2015 № 1301 "Об утверждении Порядка формирования муниципального задания в отношении муниципальных учреждений муниципального образования "Колпашевский район" и Порядка финансового обеспечения выполнения муниципального задания муниципальными учреждениями в муниципальном образовании "Колпашевский район" (в редакции от 18.01.2016 № 11, от 06.07.2016 № 738, от 11.11.2016 № 1250, от 21.01.2017 № 120, от 27.10.2017 № 1134, от 09.10.2018 № 1072, от 05.12.2018 № 1306, от 02.04.2020 № 350, от 15.07.2020 № 733, от 24.12.2020 № 1410, от 26.01.2021 № 97, 21.04.2021 № 484)</t>
  </si>
  <si>
    <t>Постановление Администрации Томской области от 24.06.2014 № 244а «Об установлении Правил предоставления и методики распределения иных межбюджетных трансфертов на достижение целевых показателей по Плану мероприятий ("дорожной карте") "Изменения в сфере образования в Томской области" в части повышения заработной платы педагогических работников муниципальных дошкольных образовательных организаций»</t>
  </si>
  <si>
    <t>Постановление Администрации Колпашевского района от 26.05.2021 № 638 "О порядке расходования средств субсидии из бюджета Томской области на сздание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</si>
  <si>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Постановление Администрации Колпашевского района от 18.19.2018 № 994 "Об утверждении порядка компенсации расходов по оплате найма жилого помещения" (в редакции от 27.06.2019 № 685, от 20.08.2021 № 1018)</t>
  </si>
  <si>
    <t>Постановление Адми нистрации Колпашевского района от 14.03.2016 № 252 "Об утверждении Порядка предоставления мер социальной поддержки, предусмотренных решением Думы Колпашевского района от 27.11.2015 № 37" (в редакции от 06.12.2016 № 1330, от 27.03.2017 № 259, от 17.10.2018 № 1116, от 28.01.2020 № 70, от 21.05.2021 № 611, от 20.08.2021 № 1019)</t>
  </si>
  <si>
    <t>Решение Думы Колпашевского района от 13.07.2010 № 875 "Об утверждении Положения о поряке управления и распоряжения имуществом, его приватизации и использования доходов от приватизации и использования имущества, находящегося в собственности МО "Колпашевский район" (в редакции решений Думы Колпашевского района от 23.08.2010 № 914, от 24.12.2010 № 32, от 18.03.2011 № 21, от 23.04.2012 № 48, от 24.05.2012 № 85, от 16.07.2012 № 95, от 19.12.2012 № 151, от 29.04.2013 № 33, от 25.11.2013 № 102, от 17.03.2014 № 18, от 27.10.2014 № 117, от 26.01.2015 № 7, от 24.08.2016 № 84, от 24.11.2016 № 114, от 26.02.20108 № 13, от 29.03.2018 № 21, от 27.03.2019 № 34, от 04.07.2019 № 67, от 27.05.2020 № 61, от 26.04.2021 № 48, от 30.06.2021 № 74,от 30.07.2021 № 86)</t>
  </si>
  <si>
    <t>Решение Думы Колпашевского района от 29.04.2013 № 36 "О порядке использования средств бюджета муниципального образования «Колпашевский район на реализацию мероприятий, направленных на создание условий для развития сельскохозяйственного производства в поселениях, расширения рынка сельскохозяйственной продукции, сырья продовольствия" (в редакции от 27.11.2015 № 44, от 25.11.2019 № 124, от 26.08.2020 № 104, от 25.10.2021 № 138)</t>
  </si>
  <si>
    <t>Постановление Администрации Колпашевского района от 11.08.2020 № 844 "Об утверждении порядка предоставления субсидий юридическим лицам и индивидуальным предпринимателям, осуществляющим промышленное рыболовство, на финансовое обеспечение затрат, связанных с приобретением маломерных судов, лодочных моторов, орудий лова для добычи (вылова) водных биоресурсов, холодильного оборудования, льдогенераторов" (отменен ПАКР от 17.05.2021 № 578)</t>
  </si>
  <si>
    <t>Решение Думы Колпашевского района от 19.12.2012 № 160 "О Почетной грамоте и Благодарственном письме Думы Колпашевского района" (в редакции от 25.11.2013 № 110, от 21.12.2015 № 64, от 26.02.2020 № 32, от 29.04.2020 № 43)</t>
  </si>
  <si>
    <t>Постановление Администрации Колпашевского района от 05.05.2012 № 425 "О порядке определения объёма и условия предоставления бюджетным и автономным учреждениям муниципального образования «Колпашевский район» субсидий на иные цели, источником финансирования которых является резервный фонд Администрации Колпашевского район" (в редакции от 25.08.2015 № 826)</t>
  </si>
  <si>
    <t>Постановление Администрации Колпашевского района от 20.01.2021 № 52 "О финансировании мероприятий по укреплению общественного здоровья населения Колпашевского района"</t>
  </si>
  <si>
    <t>23.11.2020- 25.12.2020</t>
  </si>
  <si>
    <t>Решение Думы Колпашевского района от 27.04.2017 № 27 "О финансировании за счет средств бюджета муниципального образования "Колпашевский район" расходов на поддержку и развитие Центров общественного доступа, расположенных в муниципальных учреждениях культуры муниципального образования "Колпашевский район"</t>
  </si>
  <si>
    <t>Постановление Администрации Колпашевского района от 10.08.2021 № 948 "О порядке и сроках расходования средств субсидии на обеспечение организации отдыха детей в каникулярное время"</t>
  </si>
  <si>
    <t>(499 725)</t>
  </si>
  <si>
    <t>(499 726)</t>
  </si>
  <si>
    <t>24.12.2021- 01.10.2022</t>
  </si>
  <si>
    <t>01.01.2022- 31.12.2027</t>
  </si>
  <si>
    <t>01.01.2021- 31.12.2026</t>
  </si>
  <si>
    <t>Постановление Администрации Томской области от 27.09.2019 № 342а "Об утверждении государственной программы "Развитие образования в Томской области"</t>
  </si>
  <si>
    <t>Прил 9</t>
  </si>
  <si>
    <t>Прил 10</t>
  </si>
  <si>
    <t>Прил 2</t>
  </si>
  <si>
    <t>Постановление Администрации Томской области от 06.07.2020 N 317а "Об установлении Правил предоставления и методики распределения иных межбюджетных трансфертов из областного бюджета местным бюджетам на выплату ежемесячного денежного вознаграждения за классное руководство педагогическим работникам муниципальных общеобразовательных организаций"</t>
  </si>
  <si>
    <t>21.07.2020, не установлен</t>
  </si>
  <si>
    <t>Постановление Главы Колпашевского района от 24.12.2021 № 155 "О порядке и сроках расходования иного межбюджетного трансферта из резервного фонда финансирования непредвиденных расходов Администрации Томской области муниципальному бюджетному общеобразовательному учреждению "Чажемтовская средняя общеобразовательная школа" Колпашевского района на приобретение спортивного инвентаря" (распоряжение АТО от 26.11.2021 № 369-р-в)</t>
  </si>
  <si>
    <t>прил. 6 подпр.1</t>
  </si>
  <si>
    <t>прил.2 подпр.1</t>
  </si>
  <si>
    <t>21.12.2021- 30.12.2021</t>
  </si>
  <si>
    <t>11.03.2020, не установлен</t>
  </si>
  <si>
    <t>Постановление Администрации Томской области от 20.09.2019 № 328а "Об утверждении государственной программы "Эффективное управление государственным имуществом Томской области"</t>
  </si>
  <si>
    <t>Прил к подпрогр</t>
  </si>
  <si>
    <t>Прил. 4</t>
  </si>
  <si>
    <t>30.01.2015, не установлен</t>
  </si>
  <si>
    <t>Постановление Администрации Колпашевского района от 20.11.2015 № 1176 "Об утверждении положения о единой дежурно-диспетчерской службе Колпашевского района" (в редакции от 12.01.2022 № 5)</t>
  </si>
  <si>
    <t>Прил 11 подрог 1</t>
  </si>
  <si>
    <t>Постановление Администрации Томской области от 17.03.2020 N 107а "Об утверждении Правил предоставления и Методики распределения иных межбюджетных трансфертов из областного бюджета местным бюджетам на финансовое обеспечение расходных обязательств муниципальных образований по оказанию помощи в ремонте и (или) переустройстве жилых помещений граждан,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 из числа: участников и инвалидов Великой Отечественной войны 1941-1945 годов; тружеников тыла военных лет; лиц, награжденных знаком "Жителю блокадного Ленинграда"; бывших несовершеннолетних узников концлагерей; вдов погибших (умерших) участников Великой Отечественной войны 1941-1945 годов, не вступивших в повторный брак"</t>
  </si>
  <si>
    <t>30.03.2020, не установлен</t>
  </si>
  <si>
    <t>Постановление Администрации Томской области от 27.09.2019 № 346а "Об утверждении государственной программы "Развитие инфраструктуры в Томской области"</t>
  </si>
  <si>
    <t>Постановление администрации Томской области от 20.09.2019 № 329а "Об утверждении государственной программы "Эффективное управление региональными финансами, государственными закупками и совершенствование межбюджетных отношений в Томской области"</t>
  </si>
  <si>
    <t>п.5 подпр 4</t>
  </si>
  <si>
    <t>Постановление Администрации Томской области от 27.09.2019 № 360а "Об утверждении государственной программы «Развитие предпринимательства и повышение эффективности государственного управления социально-экономическим развитием Томской области"</t>
  </si>
  <si>
    <t>Подпр 1</t>
  </si>
  <si>
    <t>(209 536)</t>
  </si>
  <si>
    <t>Решение Думы Колпашевского района от 26.01.2022 № 5 "О предоставлении иных межбюджетных трансфертов бюджетам поселений Колпашевского района на обеспечение условий для развития физической культуры и массового спорта"</t>
  </si>
  <si>
    <t>26.01.2022- 28.12.2022</t>
  </si>
  <si>
    <t>09.02.2022, не установлен</t>
  </si>
  <si>
    <t>(209 527)</t>
  </si>
  <si>
    <t>(209 525)</t>
  </si>
  <si>
    <t>(209 526)</t>
  </si>
  <si>
    <t>(499 711</t>
  </si>
  <si>
    <t>16.03.2022- 31.12.2023</t>
  </si>
  <si>
    <t>Постановление Администрации Колпашевского района от 24.03.2022 № 381 "Об установлении Порядка содержания и ремонта автомобильных дорог местного значения муниципального образования "Колпашевский район"</t>
  </si>
  <si>
    <t>24.03.2022, не установлен</t>
  </si>
  <si>
    <t>Решение Думы Колпашевского района от 10.12.2005 № 35 "Об утверждении Положения о порядке официального опубликования (обнародования) муниципальных правовых актов и иной официальной информации" (в редакции от 27.10.2008 № 558, от 27.03.2009 № 624, от 30.01.2014 № 11, от 22.06.2015 № 62, от 28.09.2017 № 85, от 28.03.2022 № 31)</t>
  </si>
  <si>
    <t>06.04.2022, не установлен</t>
  </si>
  <si>
    <t>Постановление Администрации Колпашевского района от 13.04.2022 № 475 "О порядке и сроках расходования средств субсидии на внедрение и функционирование целевой модели цифровой образовательной среды в муниципальных общеобразовательных организациях"</t>
  </si>
  <si>
    <t>13.04.2022, не установлен</t>
  </si>
  <si>
    <t>(209 686)</t>
  </si>
  <si>
    <t>(209 689)</t>
  </si>
  <si>
    <t>(209 682)</t>
  </si>
  <si>
    <t>(209 685)</t>
  </si>
  <si>
    <t>1.1.1.5.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на автомобильном транспорте, городском наземном электрическом транспорте и в дорожном хозяйстве вне границ населенных пунктов в границах муниципального района, организация дорожного движения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</si>
  <si>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1.4.2.1. Материально-техническое и финансовое обеспечение деятельности органов государственной власти субъекта Российской Федерации (органов местного самоуправления) и государственных учреждений субъекта Российской Федерации (муниципальных учреждений), в том числе вопросов оплаты труда работников органов государственной власти субъекта Российской Федерации (органов местного самоуправления) и работников государственных учреждений субъекта Российской Федерации (муниципальных учреждений) (в части вопросов оплаты труда работников органов государственной власти субъекта Российской Федерации)</t>
  </si>
  <si>
    <t xml:space="preserve">1.4.2.2. Материально-техническое и финансовое обеспечение деятельности органов государственной власти субъекта Российской Федерации (органов местного самоуправления) и государственных учреждений субъекта Российской Федерации (муниципальных учреждений), в том числе вопросов оплаты труда работников органов государственной власти субъекта Российской Федерации (органов местного самоуправления) и работников государственных учреждений субъекта Российской Федерации (в части материально-технического и финансового обеспечения деятельности органов государственной власти субъекта Российской Федерации (органов местного самоуправления) без учета вопросов оплаты труда работников органов государственной власти субъекта Российской Федерации (органов местного самоуправления))    </t>
  </si>
  <si>
    <t>1.4.2.38.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</si>
  <si>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1.6.1.по предоставлению дотаций на выравнивание бюджетной обеспеченности городских, сельских поселений, всего</t>
  </si>
  <si>
    <t>1.6.3.по предоставлению субвенций бюджетам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</si>
  <si>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1.6.3.1. на осуществление воинского учета на территориях, на которых отсутствуют структурные подразделения военных комиссариатов</t>
  </si>
  <si>
    <t>(100 313)</t>
  </si>
  <si>
    <t>пп 1.1.</t>
  </si>
  <si>
    <t>28.04.2022, не установлен</t>
  </si>
  <si>
    <t>11.05.2022- 31.12.2023</t>
  </si>
  <si>
    <t>1838 (571)</t>
  </si>
  <si>
    <t>1085 (505)</t>
  </si>
  <si>
    <t>2347 (206 505)</t>
  </si>
  <si>
    <t>Постановление Администрации Колпашевского района от 11.05.2022 № 601 "О порядке расходования средств субсидии из областного бюджета бюджету муниципального образования «Колпашевский район» на строительство муниципальных объектов в сфере общего образования в рамках государственной программы «Развитие образования в Томской области» (Строительство здания МБОУ «Саровская СОШ» с размещением 2-х групп дошкольного образования по адресу: Томская область, Колпашевский район, п. Большая Саровка, ул. Советская, 19)" (в редакции от 17.06.2022 № 796)</t>
  </si>
  <si>
    <t>Постановление Администрации Колпашевского района от 21.06.2022 № 801 "Об установлении расходного обязательства муниципального образования «Колпашевский район»</t>
  </si>
  <si>
    <t>31.01.2022- 31.12.2022</t>
  </si>
  <si>
    <t>28.02.2022- 31.12.2022</t>
  </si>
  <si>
    <t>Решение Думы Колпашевского района от 28.06.2022 № 61 "О предоставлении иных межбюджетных трансфертов бюджетам поселений, входящих в состав муниципального образования "Колпашевский район", на подготовку и проведение выборов депутатов представительных органов поселений Колпашевского района"</t>
  </si>
  <si>
    <t>28.06.2022- 20.12.2022</t>
  </si>
  <si>
    <t>Решение Думы Колпашевского района от 28.02.2022 № 23 "О предоставлении иных межбюджетных трансфертов из бюджета муниципального образования «Колпашевский район» бюджетам поселений, входящих в состав муниципального образования «Колпашевский район» на организацию проведения кадастровых работ по оформлению земельных участков в собственность муниципальных образований" (в редакции от 28.06.2022 № 71)</t>
  </si>
  <si>
    <t>1.4.1.21. на осуществление первичного воинского учета на территориях, где отсутствуют военные комиссариаты</t>
  </si>
  <si>
    <t>(203 538)</t>
  </si>
  <si>
    <t>29.07.2022, не установлен</t>
  </si>
  <si>
    <t>Постановление Главы Колпашевского района от 15.08.2022 № 120 "О порядке и сроках расходования иного межбюджетного трансферта из резервного фонда финансирования непредвиденных расходов Администрации Томской области, выделенного бюджету муниципального образования «Колпашевский район» для муниципального автономного дошкольного образовательного учреждения «Центр развития ребенка – детский сад «Золотой ключик» Колпашевского района на укрепление материально-технической базы"</t>
  </si>
  <si>
    <t>15.08.2022- 31.12.2022</t>
  </si>
  <si>
    <t>Постановление Администрации Колпашевского района от 16.03.2022 № 351 "О порядке и сроках расходования средств субсидии на проведение капитального ремонта зданий муниципальных общеобразовательных организаций в рамках модернизации школьных систем образования в Томской области" (в редакции от 21.06.2022 № 800, от 30.06.2022 № 850)</t>
  </si>
  <si>
    <t>27.09.2022, не установлен</t>
  </si>
  <si>
    <t>Решение Думы Колпашевского района от 14.07.2006 № 180 "Об утверждении Положения о создании условий для предоставления транспортных услуг населению и организации транспортного обслуживания населению по маршрутам между поселениями в границах МО "Колпашевский район" (в редакции от 29.11.2006 № 237, от 27.04.2007 № 320, от 15.05.2008 № 477, от 08.09.2008 № 539, от 23.04.2012 № 75, от 10.09.2012 №120, от 29.04.2013 № 38, от 21.12.2015 № 56, от 28.03.2017 № 23, от 28.06.2017 № 56, от 28.09.2017 № 92, от 28.08.2018 № 78, от 28.11.2018 № 102)</t>
  </si>
  <si>
    <t>Постановление Администрации Колпашевского района от 09.02.2022 № 149 "Об утверждении Положения об организации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а также дополнительного образования детей, в муниципальных образовательных организациях Колпашевского района"</t>
  </si>
  <si>
    <t>Постановление Главы Колпашевского района от 21.12.2021 № 152 "О порядке и сроках расходования бюджетных ассигнований резервного фонда финансирования непредвиденных расходов Администрации Томской области" (распоряжение АТО от 10.12.2021 № 392-р-в)</t>
  </si>
  <si>
    <t>21.10.2022, не установлен</t>
  </si>
  <si>
    <t>Решение Думы Колпашевского района от 30.03.2007 № 307 "Об утверждении Положения об обеспечении условий для развития на территории муниципальногообразования "Колпашевский район"физической культуры и массового спорта , организация проведения официальных физкультурно-оздоровительных мероприятий Колпашевского района (в редакции от 30.08.2007 № 356, от 28.08.2008 № 525, от 24.05.2010 № 835, от 25.04.2011 № 39, от 23.04.2012 № 68, от 15.12.2014 № 155, от 30.05.2016 № 50, от 24.08.2016 № 67, от 30.05.2017 № 41, от 28.09.2017 № 82, от 18.06.2018 № 41, от 26.02.2020 № 23)</t>
  </si>
  <si>
    <t xml:space="preserve">Решение Думы Колпашевского района от 08.10.2005 № 417 "О Положении об организации профессиональной подготовки кадров органов местного самоуправления Колпашевского района и работников органов Администрации Колпашевского района" (в редакции от 17.06.2013 № 57)
 </t>
  </si>
  <si>
    <t>Решение Думы Колпашевского района от 22.06.2015 № 59 "О софинансировании проектов по организации и проведению в 2015 году мероприятий, направленных на поддержку и развитие социального туризма" (в редакции решения от 28.08.2018 № 68)</t>
  </si>
  <si>
    <t>Решение Думы Колпашевского района от 31.07.2015 № 69 "О размере, условиях и порядке предоставления компенсации расходов, связанных с переездом, лицам, заключившим трудовые договоры о работе в органах местного самоуправления муниципального образования «Колпашевский район», муниципальных учреждениях, финансируемых из бюджета муниципального образования «Колпашевский  район», и прибывшим в соответствии с этими договорами из других регионов Российской Федерации" (в редакции от 28.08.2018 № 66, от 04.07.2019 № 63, от 30.08.2021 № 96, от 30.09.2021 № 113)</t>
  </si>
  <si>
    <t>Постановление Администрации Колпашевского района от 30.06.2010 № 863 "Об установлении расходных обязательств по осуществлению отдельных государственных полномочий" (в редакции от 19.06.2012 № 577, от 13.02.2013 № 119)</t>
  </si>
  <si>
    <t>Постановление Администрации Колпашевского района от 30.06.2010 № 855 "Об установлении расходных обязательств по осуществлению отдельных государственных полномочий по государственной поддержке сельскохозяйственного производства" (в редакции от 11.08.2022 № 1018)</t>
  </si>
  <si>
    <t>2339 (499 720)</t>
  </si>
  <si>
    <t>Решение Думы Колпашевского района от 10.09.2012 № 115 "О предоставлении иных межбюджетных трансфертов на поддержку мер по обеспечению сбалансированности местных бюджетов" (в редакции от 28.10.2013 № 85, от 22.09.2014 № 87, от 27.10.2014 № 112, от 07.09.2015 № 80, от 02.11.2017 № 4, от 20.10.2016 № 89, от 26.10.2017 № 97, от 03.10.2018 № 87, от 23.10.2019 № 106, от 331.01.2020 № 2, от 12.10.2020 № 6, от 30.09.2021 № 112, от 24.10.2022 № 115)</t>
  </si>
  <si>
    <t>Решение Думы Колпашевского района от 24.10.2022 № 116 "О предоставлении бюджету муниципального образования "Колпашевское городское поселение" иного межбюджетного трансферта для муниципального казённого учреждения "Городской молодёжный центр" на укрепление материально-технической базы"</t>
  </si>
  <si>
    <t>24.10.2022- 20.11.2022</t>
  </si>
  <si>
    <t>Постановление Главы Колпашевского района от 26.10.2022 № 157 "О порядке и сроках расходования бюджетных ассигнований резервного фонда финансирования непредвиденных расходов Администрации Томской области"</t>
  </si>
  <si>
    <t>26.10.2022- 01.12.2022</t>
  </si>
  <si>
    <t>Постановление Администрации Колпашевского района от 18.11.2022 № 1376 "О порядке использования средств бюджета муниципального образования "Колпашевский район" на реализацию мероприятий по информационному обеспечению мероприятий по энергосбережению и повышению энергетической эффективности, определенных в качестве обязательных федеральными законами и иными нормативными правовыми актами Российской Федерации, а также предусмотренных соответствующей муниципальной программой в области энергосбережения и повышения энергетической эффективности"</t>
  </si>
  <si>
    <t>18.11.2022, не установлен</t>
  </si>
  <si>
    <t>(209 506)</t>
  </si>
  <si>
    <t>(209 507)</t>
  </si>
  <si>
    <t>06.12.2022, не установлен</t>
  </si>
  <si>
    <t>прил. 20</t>
  </si>
  <si>
    <t>01.01.2020 - 31.12.2024</t>
  </si>
  <si>
    <t>Гл.3, ст.17, п. 1, п.п. 1.</t>
  </si>
  <si>
    <t>1.2.20.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</si>
  <si>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1220</t>
  </si>
  <si>
    <t>ст. 17, п.1, п.п.8.2</t>
  </si>
  <si>
    <t>ст.11 п.2</t>
  </si>
  <si>
    <t>26.05.2021, не установлен</t>
  </si>
  <si>
    <t>19.03.2021, не установлен</t>
  </si>
  <si>
    <t>(209 517)</t>
  </si>
  <si>
    <t>(209 618)</t>
  </si>
  <si>
    <t>(209 619)</t>
  </si>
  <si>
    <t>(209 541)</t>
  </si>
  <si>
    <t>(209 542)</t>
  </si>
  <si>
    <t>1802.3
(310 580)</t>
  </si>
  <si>
    <t>(100 304)</t>
  </si>
  <si>
    <t>09.01.2023, не установлен</t>
  </si>
  <si>
    <t>ст. 37,  п. 4</t>
  </si>
  <si>
    <t>Постановление Администрации Колпашевского района от 25.01.2023 № 44 "О порядке и сроках расходования средств субсидии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 в рамках регионального проекта "Успех каждого ребёнка"</t>
  </si>
  <si>
    <t>25.01.2023- 31.12.2023</t>
  </si>
  <si>
    <t>Решение Думы Колпашевского района от 10.12.2020 № 34 "Об установлении целей, порядка и условий предоставления из бюджета муниципального образования "Колпашевский район" бюджетам поселений Колпашевского района субвенций на осуществление полномочий по первичному воинскому учету на территориях, где отсутствуют военные комиссариаты" (в редакции от 30.01.2023 № 3)</t>
  </si>
  <si>
    <t>Решение Думы Колпашевского района от 29.07.2022 № 79 "О предоставлении субвенции бюджетам поселений Колпашевского района на предоставление социальной выплаты, удостоверяемой государственным жилищным сертификатом Томской области лицам, которые ранее относились к категории детей-сирот и детей, оставшихся без попечения родителей, которые не являются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 а также к категории детей-сирот и детей, оставшихся без попечения родителей, которые являются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 в случае, если их проживание в ранее занимаемых жилых помещениях признается невозможным" (в редакции от 30.01.2023 № 6)</t>
  </si>
  <si>
    <t>30.01.2023- 15.12.2023</t>
  </si>
  <si>
    <t>Решение думы Колпашевского района от 30.01.2023 № 9 "О предоставлении иного межбюджетного трансферта на организацию газоснабжения населённых пунктов Колпашевского района"</t>
  </si>
  <si>
    <t>30.01.2023- 18.12.2023</t>
  </si>
  <si>
    <t>10.01.2022, не установлен</t>
  </si>
  <si>
    <t>31.01.2023, не установлен</t>
  </si>
  <si>
    <t>ст. 37 , п.4</t>
  </si>
  <si>
    <t>Прил. 3</t>
  </si>
  <si>
    <t>Прил. 11</t>
  </si>
  <si>
    <t>Прил. 16</t>
  </si>
  <si>
    <t>ПодПР "Региональный проект…"
прил. 2</t>
  </si>
  <si>
    <t>ПодПР "Региональный проект…"
прил. 3</t>
  </si>
  <si>
    <t>ПодПР "Региональный проект…"
прил. 5</t>
  </si>
  <si>
    <t>ПодПР "Региональный проект…"
прил. 1</t>
  </si>
  <si>
    <t>Прил. 10</t>
  </si>
  <si>
    <t>ПодПР 2
прил. 2</t>
  </si>
  <si>
    <t>Прил. 1</t>
  </si>
  <si>
    <t>01.01.2022- 31.12.2026</t>
  </si>
  <si>
    <t>Постановление Администрации Колпашевского района от 15.01.2014 № 14 "Об установлении расходных обязательств по осуществлению отдельных государственных полномочий, переданных в соответствии с Законом Томской области от 09.12.2013 № 214-ОЗ" (в редакции от 26.10.2020 № 1155, от 06.02.2023 № 80)</t>
  </si>
  <si>
    <t>Постановление Администрации Колпашевского района от 04.12.2020 № 1316 "Об установлении расходного обязательства по осуществлению отдельных государственных полномочий по расчёту и предоставлению бюджетам поселений, входящих в состав муниципального района Томской области, субвенций на осуществление первичного воинского учёта органами местного самоуправления поселений и городских округов Томской области" (в редакции от 06.02.2023 № 90)</t>
  </si>
  <si>
    <t>14.02.2023- 31.12.2023</t>
  </si>
  <si>
    <t>(209 519)</t>
  </si>
  <si>
    <t>Прил 4 к ППр "Региональный.."</t>
  </si>
  <si>
    <t>(210  501)</t>
  </si>
  <si>
    <t>(499 802)</t>
  </si>
  <si>
    <t>Постановление Администрации Колпашевского района от 30.06.2010 № 863 "Об установлении расходных обязательств по осуществлению отдельных государственных полномочий" (в редакцтт от 19.06.2012 № 577, от 13.02.2013 № 119, от 21.02.2023 № 145)</t>
  </si>
  <si>
    <t>Постановление Администрации Колпашевского района от 30.06.2010 № 863 "Об установлении расходных обязательств  муниципального образования "Колпашевский район" по осуществлению отдельных государственных полномочий" (в редакции от 19.06.2012 № 577, от 13.02.2013 № 119, от 21.02.2023 № 145)</t>
  </si>
  <si>
    <t>Постановление Администрации Колпашевского района от 30.06.2010 № 863 "Об установлении расходных обязательств по осуществлению отдельных государственных полномочий" (в редакции от 19.06.2012 № 577, от 13.02.2013 № 119, от 21.02.2023 № 145)</t>
  </si>
  <si>
    <t>Постановление Главы Колпашевского района от 27.02.2023 № 21 "О порядке и сроках расходования иного межбюджетного трансферта из резервного фонда финансирования непредвиденных расходов Администрации Томской области, выделенного бюджету муниципального образования "Колпашевский район" для муниципального казённого общеобразовательного учреждения "Новогоренская средняя общеобразовательная школа" на укрепление материально-технической базы"</t>
  </si>
  <si>
    <t>27.02.2023- 31.12.2023</t>
  </si>
  <si>
    <t>Постановление Администрации Колпашевского района от 15.12.2021 № 1484 "Об утверждении муниципальной программы "Развитие внутреннего и въездного туризма на территории Колпашевского района" (в редакции от 29.09.2022 № 1220, от 29.12.2022 № 1524, от 22.02.2023 № 154)</t>
  </si>
  <si>
    <t>27.02.2023- 25.12.2023</t>
  </si>
  <si>
    <t>Решение Думы Колпашевского района от 27.02.2023 № 24 "О предоставлении иного межбюджетного трансферта бюджету муниципального образования "Колпашевское городское поселение" на организацию транспортного обслуживания населения Колпашевского городского поселения автомобильным транспортом"</t>
  </si>
  <si>
    <t>Постановление Администрации Колпашевского района от 09.03.2023 № 197 "О порядке расходования средств субсидии на обеспечение участия спортивных сборных команд муниципальных районов и городских округов Томской области в официальных региональных спортивных, физкультурных мероприятиях, проводимых на территории Томской области, за исключением спортивных сборных команд муниципального образования "Город Томск", муниципального образования "Городской округ – закрытое административно-территориальное образование Северск Томской области", муниципального образования "Томский район"</t>
  </si>
  <si>
    <t>09.03.2023- 31.12.2023</t>
  </si>
  <si>
    <t>(209 801)</t>
  </si>
  <si>
    <t>Постановление Администрации Колпашевского района от 24.12.2021 № 1520 "Об утверждении муниципальной программы "Развитие коммунальной инфраструктуры Колпашевского района" (в редакции от 01.02.2023 № 64, от 13.03.2023, от 16.03.2023 № 248)</t>
  </si>
  <si>
    <t>Постановление Главы Колпашевского района от 17.03.2023 № 27 "О порядке и сроках расходования иного межбюджетного трансферта из резервного фонда финансирования непредвиденных расходов Администрации Томской области, выделенного бюджету муниципального образования «Колпашевский район» для муниципального автономного общеобразовательного учреждения «Средняя общеобразовательная школа № 2» г.Колпашево на укрепление материально-технической базы"</t>
  </si>
  <si>
    <t>17.03.2023- 31.12.2023</t>
  </si>
  <si>
    <t>Постановление Администрации Колпашевского района от 21.03.2023 № 275 "О порядке и сроках расходования средств субсидии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</si>
  <si>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21.03.2023, не установлен</t>
  </si>
  <si>
    <t>Постановление Администрации Колпашевского района от 21.03.2023 №279 "О порядке расходования средств субсидии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</si>
  <si>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Постановление Администрации Колпашевского района от 10.01.2022 № 3 "Об организации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"Колпашевский район", порядке и сроках расходования средств субсидии на организацию бесплатного горячего питания обучающихся, получающих начальное общее образование в муниципальных образовательных организациях, и об утверждении Порядка определения объёма и условия предоставления субсидии из бюджета муниципального образования "Колпашевский район" муниципальным бюджетным образовательным организациям и муниципальным автономным образовательным организациям на организацию бесплатного горячего питания обучающихся, получающих начальное общее образование в муниципальных общеобразовательных организациях" (в редакции от 14.02.2022 № 181, от 06.04.2022 № 431, от 30.08.2022 № 1098, от 04.01.2023 № 38, от 31.01.2023 № 60, от 27.03.2023 № 289)</t>
  </si>
  <si>
    <t>Постановление Администрации Колпашевского района от 06.04.2022 № 432 "О порядке и сроках расходования средств межбюджетных трансфертов на выплату ежемесячной стипендии Губернатора Томской области молодым учителям муниципальных образовательных организаций Томской области и об утверждении Порядка определения объёма и условия предоставления субсидии из бюджета муниципального образования «Колпашевский район» муниципальным бюджетным образовательным организациям и муниципальным автономным образовательным организациям Колпашевского района на выплату стипендии Губернатора Томской области молодым учителям муниципальных образовательных организаций Томской области" (в редакции  от 27.03.2023 № 287)</t>
  </si>
  <si>
    <t>Постановление Администрации Колпашевского района от 31.01.2023 № 61 "Об обеспечении обучающихся с ограниченными возможностями здоровья, не проживающих в муниципальных образовательных организациях Колпашевского района, осуществляющих образовательную деятельность по основным общеобразовательным программам, бесплатным двухразовым питанием и об утверждении Порядка определения объёма и условия предоставления субсидии из бюджета муниципального образования "Колпашевский район" муниципальным бюджетным образовательным организациям и муниципальным автономным образовательным организациям на обеспечение обучающихся с ограниченными возможностями здоровья, не проживающих в муниципальных образовательных организациях Колпашевского района, осуществляющих образовательную деятельность по основным общеобразовательным программам, бесплатным двухразовым питанием" (в редакции  от 27.03.2023 № 287)</t>
  </si>
  <si>
    <t>Постановление Администрации Колпашевского района от 27.12.2021 № 1531 "Об утверждении муниципальной программы "Развитие молодёжной политики, физической культуры и массового спорта на территории муниципального образования "Колпашевский район" (в редакции от 25.04.2022 № 549, от 29.12.2022 № 1523, от 29.03.2023 № 299)</t>
  </si>
  <si>
    <t>Постановление Администрации Колпашевского района от 14.05.2015 № 480 "О порядке расходования средств иных межбюджетных трансфертов, предоставленных из областного бюджета и средств бюджета муниципального образования "Колпашевский район" на оказание помощи в ремонте и (или) переустройстве жилых помещений граждан,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 из числа: участников и инвалидов Великой Отечественной войны 1941-1945 годов; тружеников тыла военных лет; лиц, награжденных знаком "Жителю блокадного Ленинграда"; лиц, награжденных знаком "Житель осажденного Севастополя"; бывших несовершеннолетних узников концлагерей; вдов погибших (умерших) участников" (в редакции от 30.06.2016 № 713, от 18.10.2016 № 1143, от 19.12.2016 № 1373, от 25.04.2017 № 367, от 16.11.2017 № 1200, от 22.03.2018 № 237, от 02.07.2018 № 647, от 11.06.2019 № 612, от 12.08.2019 № 890, от 27.12.2019 № 1496, от 12.03.2020 № 245, от 28.05.2020 № 523, от 10.06.2021 № 725, от 14.04.2022 № 480, от 31.03.2023 № 308)</t>
  </si>
  <si>
    <t>Постановление Главы Колпашевского района от 03.04.2023 № 34 "О порядке и сроках расходования бюджетных ассигнований резервного фонда финансирования непредвиденных расходов Администрации Томской области" (распоряжение АТО от 03.03.2023 № 45-р-в)</t>
  </si>
  <si>
    <t>03.04.2023- 31.12.2023</t>
  </si>
  <si>
    <t>03.04.2023- 01.11.2023</t>
  </si>
  <si>
    <t>(100 347)</t>
  </si>
  <si>
    <t>(100 346)</t>
  </si>
  <si>
    <t>(100 348)</t>
  </si>
  <si>
    <t xml:space="preserve">Решение Думы Колпашевского района от 13.07.2010 № 875 "Об утверждении Положения о поряке управления и распоряжения имуществом, его приватизации и использования доходов от приватизации и использования имущества, находящегося в собственности МО "Колпашевский район" (в редакции решений Думы Колпашевского района от 23.08.2010 № 914, от 24.12.2010 № 32, от 18.03.2011 № 21, от 23.04.2012 № 48, от 24.05.2012 № 85, от 16.07.2012 № 95, от 19.12.2012 № 151, от 29.04.2013 № 33, от 25.11.2013 № 102, от 17.03.2014 № 18, от 27.10.2014 № 117, от 26.01.2015 № 7, от 24.08.2016 № 84, от 24.11.2016 № 114, от 26.02.20108 № 13, от 29.03.2018 № 21, от 27.03.2019 № 34, от 04.07.2019 № 67, от 27.05.2020 № 61, от 26.04.2021 № 48, от 30.06.2021 № 74, от 30.07.2021 № 86, от 24.04.2023 № 34)
</t>
  </si>
  <si>
    <t>Решение Думы Колпашевского района от 24.04.2023 № 35 "О предоставлении иных межбюджетных трансфертов бюджетам поселений Колпашевского района на приобретение оборудования для малобюджетных спортивных площадок по месту жительства и учёбы"</t>
  </si>
  <si>
    <t>24.04.2023- 26.12.2023</t>
  </si>
  <si>
    <t>Решение Думы Колпашевского района от 24.04.2023 № 36 "О предоставлении иных межбюджетных трансфертов бюджетам поселений Колпашевского района на доставку и установку оборудования для малобюджетных спортивных площадок по месту жительства и учёбы"</t>
  </si>
  <si>
    <t>24.04.2023- 01.09.2023</t>
  </si>
  <si>
    <t>Решение Думы Колпашевского района от 24.04.2023 № 40 "О предоставлении иного межбюджетного трансферта из бюджета муниципального образования "Колпашевский район" бюджету муниципального образования "Чажемтовское сельское поселение" на приобретение снегоуборочной машины"</t>
  </si>
  <si>
    <t>24.04.2023- 01.11.2023</t>
  </si>
  <si>
    <t>Решение Думы Колпашевского района от 24.04.2023 № 41 "О предоставлении иных межбюджетных трансфертов на финансовую поддержку инициативных проектов, выдвинутых муниципальным образованием "Колпашевское городское поселение", входящим в состав Колавшевского района Томской области"</t>
  </si>
  <si>
    <t>24.04.2023- 20.12.2023</t>
  </si>
  <si>
    <t>пп 1.2.</t>
  </si>
  <si>
    <t>Решение Думы Колпашевского района от 24.04.2023 № 43 "О предоставлении в 2023 году иного межбюджетного трансферта бюджету муниципального образования "Саровское сельское поселение" на приобретение муниципального жилья в п. Большая Саровка"</t>
  </si>
  <si>
    <t>Постановление Администрации Колпашевского района от 28.04.2023 № 373 "О порядке и сроке расходования средств субсидии на приобретение оборудования для малобюджетных спортивных площадок по месту жительства и учёбы в муниципальных образованиях Томской области, за исключением муниципального образования "Город Томск", муниципального образования "Городской округ закрытое административно- территориальное образование Северск Томской области"</t>
  </si>
  <si>
    <t>05.05.2023- 02.10.2023</t>
  </si>
  <si>
    <t>Постановление Администрации Колпашевского района от 05.05.2023 № 403 "О порядке и сроке расходования субсидии из областного бюджета бюджету муниципального образования «Колпашевский район» на проведение комплексных кадастровых работ"</t>
  </si>
  <si>
    <t>05.05.2023- 31.12.2023</t>
  </si>
  <si>
    <t>Постановление Главы Колпашевского района от 11.05.2023 № 46 "О порядке и сроках расходования бюджетных ассигнований резервного фонда финансирования непредвиденных расходов Администрации Томской области"</t>
  </si>
  <si>
    <t>11.05.2023- 31.12.2023</t>
  </si>
  <si>
    <t>(499 716)</t>
  </si>
  <si>
    <t>Постановление Администрации Колпашевского района от 22.05.2023 № 451 "О порядке и сроке расходования субсидии из областного бюджета бюджету муниципального образования «Колпашевский район» на финансовую поддержку инициативного проекта «Обустройство уличного освещения в г. Колпашево по ул. Обская», выдвинутого муниципальным образованием «Колпашевское городское поселение», входящим в состав Колпашевского района Томской области"</t>
  </si>
  <si>
    <t>22.05.2023- 31.12.2023</t>
  </si>
  <si>
    <t>Постановление Администрации Колпашевского района от 22.05.2023 № 452 "О порядке и сроке расходования субсидии из областного бюджета бюджету муниципального образования «Колпашевский район» на финансовую поддержку инициативного проекта «Обустройство ограждения кладбища в с. Тогур, ул. Тургенева, 30/1 (3 этап)», выдвинутого муниципальным образованием «Колпашевское городское поселение», входящим в состав Колпашевского района Томской области"</t>
  </si>
  <si>
    <t>Решение Думы Колпашевского района от 29.05.2023 № 49 "О предоставлении иного межбюджетного трансферта бюджету муниципального образования "Колпашевское городское поселение" для расселения жителей г. Колпашево Колпашевского района Томской области из жилых помещений, расположенных в зоне обрушения береговой линии реки Оби в районе города Колпашево"</t>
  </si>
  <si>
    <t>29.05.2023- 20.12.2023</t>
  </si>
  <si>
    <t>Постановление Главы Колпашевского района от 06.06.2023 № 53 "О порядке и сроке расходования бюджетных ассигнований резервного фонда финансирования непредвиденных расходов Администрации Томской области" (распоряжение АТО от 18.04.2023 № 262-ра)</t>
  </si>
  <si>
    <t>06.06.2023- 20.12.2023</t>
  </si>
  <si>
    <t>Постановление Администрации Колпашевскогго района от 16.04.2015 № 417 "О порядке распределения субвенции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Томской области, обеспечение дополнительного образования детей в муниципальных общеобразовательных организациях в Томской области" (в редакции от 08.09.2015 № 900, от 10.02.2016 № 104, от 11.01.2017 № 3, от13.12.2017 № 1319, от 02.04.2018 № 281, 20.12.2018 № 1408, от 29.11.2019 № 1341, от 28.05.2020 № 522, от 29.12.2020 № 1427, от 29.01.2021 № 137, от 17.01.2023 № 29, от 06.06.2023 № 518)</t>
  </si>
  <si>
    <t>(100 324)</t>
  </si>
  <si>
    <t>13.06.2023- 20.12.2023</t>
  </si>
  <si>
    <t>Решение Думы Колпашевского района от 14.06.2023 № 59 "О предоставлении иных межбюджетных трансфертов из бюджета муниципального образования "Колпашевский район" бюджету муниципального образования "Колпашевское городское поселение" на компенсацию сверхнормативных расходов и выпадающих доходов ресурсоснабжающих организаций"</t>
  </si>
  <si>
    <t>14.06.2023- 25.12.2023</t>
  </si>
  <si>
    <t>14.06.2023- 01.11.2023</t>
  </si>
  <si>
    <t>Решение Думы Колпашевского района от 14.06.2023 № 62 "О предоставлении иного межбюджетного трансферта из бюджета муниципального образования "Колпашевский район" бюджету муниципального образования "Чажемтовское сельское поселение" на ремонт муниципального жилья"</t>
  </si>
  <si>
    <t>14.06.2023- 15.12.2023</t>
  </si>
  <si>
    <t>Решение Думы Колпашевского района от 14.06.2023 № 63 "О предоставлении иного межбюджетного трансферта из бюджета муниципального образования "Колпашевский район" бюджету муниципального образования "Новогоренское сельское поселение" на приобретение триммера и газонокосилки"</t>
  </si>
  <si>
    <t>Постановление Администрации Колпашевского района от 23.05.2012 № 496 "Об утверждении Порядка финансирования официальных физкультурно-оздоровительных и спортивных мероприятий муниципального образования "Колпашевский район" (в редакции постановлений Администрации Колпашевского района от 23.07.2012 № 702, от 31.08.2012 № 859, от 28.03.2013 № 292, от 03.07.2013 № 632, от 18.07.2013 № 711, от 23.08.2013 № 866, от 16.09. 2013 № 974, от 25.10.2013 № 1138, от 06.02.2014 №104, от 23.06.2014 № 585; от 06.10.2014 № 1145; от 04.03.2015 № 268; от 14.04.2015 № 407, от 12.11.2015 № 1147, от 12.04.2016 №372, от 10.08.2016 № 888, от 21.06.2017 № 584, от 05.04.2018 № 294, от 21.08.2019 № 945, от 26.06.2023 № 573)</t>
  </si>
  <si>
    <t>(409 680)</t>
  </si>
  <si>
    <t>(209 559)</t>
  </si>
  <si>
    <t>(203 539)</t>
  </si>
  <si>
    <t>Постановление Главы Колпашевского района от 13.07.2023 № 70 "О порядке и сроках расходования бюджетных ассигнований резервного фонда финансирования непредвиденных расходов Администрации Томской области"</t>
  </si>
  <si>
    <t>Постановление Главы Колпашевского района от 14.07.2023 № 72 "О порядке и сроках расходования иного межбюджетного трансферта из резервного фонда финансирования непредвиденных расходов Администрации Томской области, выделенного бюджету муниципального образования "Колпашевский район" для муниципального автономного учреждения дополнительного образования "Колпашевская спортивная школа имени О.Рахматулиной" на укрепление материально-технической базы"</t>
  </si>
  <si>
    <t>14.07.2023- 01.12.2023</t>
  </si>
  <si>
    <t>Решение Думы Колпашевского района от 27.02.2023 № 21 "О предоставлении иных межбюджетных трансфертов из бюджета муниципального образования "Колпашевский район" бюджетам поселений, входящих в состав муниципального образования "Колпашевский район" на благоустройство населённых пунктов Колпашевского района" (в редакции  от 27.03.2023 № 287, от 24.04.2023 № 39, от 29.05.2023 № 52, от 14.06.2023 № 58, от 28.07.2023 № 69)</t>
  </si>
  <si>
    <t>28.07.2023- 20.12.2023</t>
  </si>
  <si>
    <t>Решение Думы Колпашевского района от 28.07.2023 № 75 "О предоставлении иного межбюджетного трансферта бюджету муниципального образования "Новоселовское сельское поселение" на обустройство источника противопожарного водоснабжения в д.Белояровка"</t>
  </si>
  <si>
    <t>28.07.2023- 25.12.2023</t>
  </si>
  <si>
    <t>Постановление Администрации Колпашевского района от 04.08.2023 № 686 "О порядке и сроках расходования средств субсидии на обеспечение учебными комплектами в соответствии с федеральными государственными образовательными стандартами муниципальных общеобразовательных организаций в 2023 году"</t>
  </si>
  <si>
    <t>04.08.2023- 31.12.2023</t>
  </si>
  <si>
    <t>приложение</t>
  </si>
  <si>
    <t>Подпрограмма 2</t>
  </si>
  <si>
    <t>01.02.2022- 31.12.2027</t>
  </si>
  <si>
    <t>1.1.1.13.1.  расходы в рамках программной деятельности</t>
  </si>
  <si>
    <t>1.1.1.39.1.  расходы в рамках программной деятельности</t>
  </si>
  <si>
    <t>1.1.1.38.1. расходы в рамках программной деятельности</t>
  </si>
  <si>
    <t>1.1.1.7.1. расходы в рамках программной деятельности</t>
  </si>
  <si>
    <t>1.1.1.8.1. расходы в рамках программной деятельности</t>
  </si>
  <si>
    <t>1.1.1.5.1. расходы в рамках программной деятельности</t>
  </si>
  <si>
    <t>Подпрограмма 1</t>
  </si>
  <si>
    <t>1.1.1.42.1.  расходы в рамках программной деятельности</t>
  </si>
  <si>
    <t>01.01.2023- 31.12.2028</t>
  </si>
  <si>
    <t>1.2.19.1. расходы в рамках программной деятельности</t>
  </si>
  <si>
    <t>1.2.19.2. непрограммное направление расходов</t>
  </si>
  <si>
    <t>01.02.2021- 31.12.2026</t>
  </si>
  <si>
    <t>подпрограмма 3</t>
  </si>
  <si>
    <t>01.01.2022-31.12.2027</t>
  </si>
  <si>
    <t>Проект постановления Администрации Колпашевского района "Об утверждении муниципальной программы "Муниципальные финансы"</t>
  </si>
  <si>
    <t>1.6.4.2.2.1. расходы в рамках программной деятельности</t>
  </si>
  <si>
    <t>1.6.4.2.5.1. расходы в рамках программной деятельности</t>
  </si>
  <si>
    <t>1.6.4.2.5.2. непрограммное направление расходов</t>
  </si>
  <si>
    <t>1.6.4.2.21.1. расходы в рамках программной деятельности</t>
  </si>
  <si>
    <t>28.04.2023- 26.12.2023</t>
  </si>
  <si>
    <t>1.6.4.2.21.2. непрограммное направление расходов</t>
  </si>
  <si>
    <t xml:space="preserve">Решение Думы Колпашевского района от 24.04.2023 № 37 "О предоставлении бюджету муниципального образования "Колпашевское городское поселение" иного межбюджетного трансферта на укрепление материально-технической базы" </t>
  </si>
  <si>
    <t>1.6.4.2.24. участие в организации деятельности по сбору (в том числе раздельному сбору) и транспортированию твердых коммунальных отходов
 (непрограммное направление расходов)</t>
  </si>
  <si>
    <t>1.6.4.2.26.1. расходы в рамках программной деятельности</t>
  </si>
  <si>
    <t>1.6.4.2.26.2. непрограммное направление расходов</t>
  </si>
  <si>
    <t>Постановление Главы Колпашевского района от 03.04.2023 № 35 "О порядке и сроке расходования бюджетных ассигнований резервного фонда финансирования непредвиденных расходов Администрации Томской области" (в соответствии с распоряжением АТО от 23.03.2023 № 77-р-в)</t>
  </si>
  <si>
    <t>Постановление Главы Колпшевского района от 13.06.2023 № 56 "О порядке и сроке расходования бюджетных ассигнований резервного фонда финансирования непредвиденных расходов Администрации Томской области" (в соответствии с распоряжением АТО от 30.05.2023 № 172-р-в)</t>
  </si>
  <si>
    <t>1.6.4.2.36. содействие в развитии сельскохозяйственного производства в сфере животноводства с учетом рыболовства и рыбоводства содействие в развитии сельскохозяйственного производства в сфере растениеводства
(непрограммное направление расходов)</t>
  </si>
  <si>
    <t>1.6.4.2.39. организация и осуществление мероприятий по работе с детьми и молодежью в городском поселении
(непрограммное направление расходов)</t>
  </si>
  <si>
    <t>1.1.1.3. владение, пользование и распоряжение имуществом, находящимся в муниципальной собственности муниципального района
(непрограммное направление расходов)</t>
  </si>
  <si>
    <t>1.1.1.4. 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
(расходы в рамках программной деятельности)</t>
  </si>
  <si>
    <t>1.1.1.17.1.  расходы в рамках программной деятельности</t>
  </si>
  <si>
    <t xml:space="preserve">(Расходы за счет резервных фондов Администрации Томской области) </t>
  </si>
  <si>
    <t>1.1.1.18.1.  расходы в рамках программной деятельности</t>
  </si>
  <si>
    <t>(Региональный проект "Современная школа")</t>
  </si>
  <si>
    <t>(Региональный проект "Цифровая образовательная среда")</t>
  </si>
  <si>
    <t>1.1.1.20.1.  расходы в рамках программной деятельности</t>
  </si>
  <si>
    <t>1.1.1.20.2.  непрограммное направление расходов</t>
  </si>
  <si>
    <t>1.1.1.19.1.  расходы в рамках программной деятельности</t>
  </si>
  <si>
    <t>1.1.1.19.2.  непрограммное направление расходов</t>
  </si>
  <si>
    <t>1.1.1.24.1.  расходы в рамках программной деятельности</t>
  </si>
  <si>
    <t>1.1.1.32.1.  расходы в рамках программной деятельности</t>
  </si>
  <si>
    <t>1.1.1.27.1.  расходы в рамках программной деятельности</t>
  </si>
  <si>
    <t>1.1.1.27.2.  непрограммное направление расходов</t>
  </si>
  <si>
    <t>(210 684)</t>
  </si>
  <si>
    <t>(210 566)</t>
  </si>
  <si>
    <t>1.1.1.32.2.  непрограммное направление расходов</t>
  </si>
  <si>
    <t>1.1.1.43.1.  расходы в рамках программной деятельности</t>
  </si>
  <si>
    <t>1.1.1.44.1.  расходы в рамках программной деятельности</t>
  </si>
  <si>
    <t>1.1.1.46.1.  расходы в рамках программной деятельности</t>
  </si>
  <si>
    <t>1.1.1.57.1.  расходы в рамках программной деятельности</t>
  </si>
  <si>
    <t>1.1.1.57.2.  непрограммное направление расходов</t>
  </si>
  <si>
    <t>1.1.1.66. организация библиотечного обслуживания населения, комплектование и обеспечение сохранности библиотечных фондов библиотек сельского поселения</t>
  </si>
  <si>
    <t>1.1.1.66.1.  расходы в рамках программной деятельности</t>
  </si>
  <si>
    <t>1.2.1.1. расходы в рамках программной деятельности</t>
  </si>
  <si>
    <t>1.2.1.2. непрограммное направление расходов</t>
  </si>
  <si>
    <t>1.1.1.69.1.  расходы в рамках программной деятельности</t>
  </si>
  <si>
    <t>1.1.2.19. создание условий для организации досуга и обеспечения жителей  поселения услугами организаций культуры
(непрограммное направление расходов)</t>
  </si>
  <si>
    <t>1.1.2.46. осуществление мер по противодействию коррупции в границах  поселения
(непрограммное направление расходов)</t>
  </si>
  <si>
    <t>1.2.2.1. непрограммное направление расходов</t>
  </si>
  <si>
    <t>1.2.6. принятие устава муниципального образования и внесение в него изменений и дополнений, издание муниципальных правовых актов
(непрограммное направление расходов)</t>
  </si>
  <si>
    <t>1.2.8.1.  расходы в рамках программной деятельности</t>
  </si>
  <si>
    <t>1.2.8.2. непрограммное направление расходов</t>
  </si>
  <si>
    <t>1.3.1.6.1. расходы в рамках программной деятельности</t>
  </si>
  <si>
    <t>1.3.3.3.1. расходы в рамках программной деятельности</t>
  </si>
  <si>
    <t>1.6.1.1. расходы в рамках программной деятельности</t>
  </si>
  <si>
    <t>1.1.1.45.1.  расходы в рамках программной деятельности</t>
  </si>
  <si>
    <t>Постановление Администрации Колпашевского района от 12.08.2014 № 791 "Об утверждении нормативов финансовых затрат на капитальный ремонт, ремонт, содержание автомобильных дорог общего пользования местного значения вне границ населенных пунктов в границах муниципального образования "Колпашевский район" и правил расчета размера ассигнований бюджета муниципального образования "Колпашевский район" на указанные цели" (в редакции от 18.09.2017 № 945, от 03.10.2018 № 1052, от 16.09.2019 № 1055, от 24.09.2020 № 1039, от 17.09.2021 № 1119, от 20.10.2022 № 1279, от 18.08.2023 № 755)</t>
  </si>
  <si>
    <t>Постановление Администрации Колпашевского района от 07.09.2023 № 805 "О порядке расходования средств иного межбюджетного трансферта на достижение целевых показателей по Плану мероприятий ("дорожной карте") "Изменения в сфере образования в Томской области" в части повышения заработной платы педагогических работников муниципальных общеобразовательных организаций, и об утверждении Порядка определения объёма и условия предоставления субсидии из средств бюджета муниципального образования «Колпашевский район» муниципальным бюджетным образовательным организациям и муниципальным автономным образовательным организациям на достижение целевых показателей по Плану мероприятий ("дорожной карте") "Изменения в сфере образования в Томской области" в части повышения заработной платы педагогических работников муниципальных общеобразовательных организаций"</t>
  </si>
  <si>
    <t>07.09.2023, не установлен</t>
  </si>
  <si>
    <t>Постановление Администрации Колпашевского района от 09.01.2023 № 1 "Об обеспечении питанием отдельных категорий обучающихся, за исключением обучающихся, получающих начальное общее образование, и обучающихся с ограниченными возможностями здоровья, муниципальных общеобразовательных организаций Колпашевского района" (в редакции от 31.03.2023 № 304, от 15.05.2023 № 416, от 13.09.2023 № 833)</t>
  </si>
  <si>
    <t>Постановление Администрации Колпашевского района от 31.01.2023 № 61 "Об обеспечении обучающихся с ограниченными возможностями здоровья, не проживающих в муниципальных образовательных организациях Колпашевского района, осуществляющих образовательную деятельность по основным общеобразовательным программам, бесплатным двухразовым питанием и об утверждении Порядка определения объёма и условия предоставления субсидии из бюджета муниципального образования "Колпашевский район" муниципальным бюджетным образовательным организациям и муниципальным автономным образовательным организациям на обеспечение обучающихся с ограниченными возможностями здоровья, не проживающих в муниципальных образовательных организациях Колпашевского района, осуществляющих образовательную деятельность по основным общеобразовательным программам, бесплатным двухразовым питанием" (в редакции  от 27.03.2023 № 289)</t>
  </si>
  <si>
    <t>Постановление Администрации Колпашевского района от 06.12.2022 № 1428 "О порядке и сроках расходования средств субсидии местным бюджетам на финансовое обеспечение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Томской области и об утверждении Порядка определения объёма и условия предоставления субсидии из средств бюджета муниципального образования "Колпашевский район" муниципальным бюджетным общеобразовательным организациям и муниципальным автономным общеобразовательным организациям на финансовое обеспечение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(в редакции от 27.03.2023 №289)</t>
  </si>
  <si>
    <t>Постановление Администрации Колпашевского района от 18.09.2018 № 994 "Об утверждении порядка компенсации расходов по оплате найма жилого помещения" (в редакции от 27.06.2019 № 685, от 20.08.2021 № 1018)</t>
  </si>
  <si>
    <t>Постановление Администрации Колпашевского района от 06.04.2022 № 432 "О порядке и сроках расходования средств межбюджетных трансфертов на выплату ежемесячной стипендии Губернатора Томской области молодым учителям муниципальных образовательных организаций Томской области и об утверждении Порядка определения объёма и условия предоставления субсидии из бюджета муниципального образования «Колпашевский район» муниципальным бюджетным образовательным организациям и муниципальным автономным образовательным организациям Колпашевского района на выплату стипендии Губернатора Томской области молодым учителям муниципальных образовательных организаций Томской области" (в редакции  от 27.03.2023 № 289)</t>
  </si>
  <si>
    <t>Постановление Администрации Колпашевского района от 06.12.2022 № 1428 "О порядке и сроках расходования средств субсидии местным бюджетам на финансовое обеспечение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Томской области и об утверждении Порядка определения объёма и условия предоставления субсидии из средств бюджета муниципального образования "Колпашевский район" муниципальным бюджетным общеобразовательным организациям и муниципальным автономным общеобразовательным организациям на финансовое обеспечение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(в редакции от 27.03.2023 № 289)</t>
  </si>
  <si>
    <t>Постановление Администрации Колпашевского района от 06.04.2022 № 436 "О порядке и сроках расходования средств субсидии из областного бюджета на стимулирующие выплаты в муниципальных организациях дополнительного образования в Томской области и об утверждении Порядка определения объёма и условия предоставления субсидии из бюджета муниципального образования «Колпашевский район» муниципальным бюджетным образовательным организациям и муниципальным автономным образовательным организациям Колпашевского района на стимулирующие выплаты в муниципальных организациях дополнительного образования в Томской области" (в редакции от 27.03.2023 № 289)</t>
  </si>
  <si>
    <t>Постановление Администрации Колпашевского района от 14.02.2023 № 121 "Об установлении расходного обязательства муниципального образования "Колпашевский район" (в редакции от 04.08.2023 № 687)</t>
  </si>
  <si>
    <t>Постановление Администрации Колпашевского района от 15.12.2021 № 1483 "Об утверждении муниципальной программы "Развитие культуры в Колпашевском районе" (в редакции от 24.03.2022 № 383, от 29.12.2022 № 1525, от 10.03.2023 № 215, от 11.09.2023 № 813)</t>
  </si>
  <si>
    <t>Постановление Администрации Колпашевского района от 29.12.2022 № 1522 "Об утверждении положений о предоставлении субсидий сельскохозяйственным товаропроизводителям из бюджета муниципального образования "Колпашевский район" (в редакции от 20.01.2023 № 33, от 10.03.2023 № 212, от 04.04.2023 № 315, от 05.06.2023 № 513)</t>
  </si>
  <si>
    <t>Постановление Администрации Колпашевского района от 27.09.2022 № 1215 "Об утверждении порядка предоставления субсидий субъектам малого и среднего предпринимательства, физическим лицам - производителям товаров, работ, услуг, в целях возмещения части затрат в связи с приобретением в собственность основных средств, связанных с производством товаров, выполнением работ, оказанием услуг" (в редакции от 10.03.2023 № 211, от 30.03.2023 № 301)</t>
  </si>
  <si>
    <t>Постановление Администрации Колпашевского района от 27.12.2021 № 1531 "Об утверждении муниципальной программы "Развитие молодёжной политики, физической культуры и массового спорта на территории муниципального образования "Колпашевский район" (в редакции от 25.04.2022 № 549, от 29.12.2022 № 1523, от 29.03.2023 № 299, от 04.08.2023 № 692)</t>
  </si>
  <si>
    <t>Решение Думы Колпашевского района от 23.04.2012 № 43 "О Cчетной палате Колпашевского района" (в редакции от 05.09.2013 № 83, от 16.12.2013 № 119, от 16.12.2013 № 120, от 28.04.2014 № 37, от 02.11.2015 № 10, от 28.06.2017 № 57, от 28.08.2018 № 83, от 28.11.2018 № 114, от 28.02.2019 № 25, от 28.02.2019 № 26, от 23.10.2019 № 110, от 30.09.2021 № 116, от 29.05.2023 № 48)</t>
  </si>
  <si>
    <t>Решение Думы Колпашевского района от 10.12.2008 № 580 "Об утверждении Положения об оплате труда и ежегодных основных оплачиваемых отпусках работников органов местного самоуправления Колпашевского района и работников органов Администрации Колпашевского района" (в редакции от 17.06.2010 № 853, от 14.02.2011 № 18, от 20.06.2011 № 61, от 06.07.2011 № 77, от 30.09.2011 № 112, от 23.04.2012 № 47, от 24.05.2012 № 87, от 10.09.2012 № 124, от 19.11.2012 № 144, от 27.03.2013 № 28, от 16.07.2013 № 63, от 30.01.2014 № 13, от 15.12.2014 № 164, от 25.03.2015 № 23, от 24.08.2016 № 71, от 16.02.2017 № 6, от 30.05.2017 № 45, от 29.09.2017 № 87, от 25.01.2018 № 1, от 24.04.2019 № 40, от 25.11.2019 № 122, от 23.11.2020 № 18, от 31.05.2021 № 54, от 28.06.2022 № 63, от 18.07.2022 № 75, от 27.02.2023 № 19, от 28.07.2023 № 68, от 19.09.2023 № 94)</t>
  </si>
  <si>
    <t>Решение Думы Колпашевского района от 28.04.2014 № 42 "О финансировании расходов на создание условий для оказания медицинской помощи населению на территории Колпашевского района" (в редакции от 22.09.2014 № 90, от 15.12.2014 № 159, от 02.11.2015 № 8, от 29.01.2016 № 3, от 29.02.2016 № 10, от 27.04.2017 № 29, от 18.12.2018 № 121, от 25.11.2019 № 133, от 28.08.2023 № 78)</t>
  </si>
  <si>
    <t>Решение думы Колпашевского района от 14.06.2023 № 64 "О предоставлении иного межбюджетного трансферта бюджету муниципального образования "Инкинское сельское поселение" на организацию электроснабжения от дизельных электростанций" (в редакции от 19.09.2023 № 101)</t>
  </si>
  <si>
    <t>Постановление Администрации Колпашевского района от 16.04.2020 № 403 "О перечислении средств иных межбюджетных трансфертов Колпашевскому городскому поселению на исполнение судебных актов" (в редакции от 15.06.2020 № 617)</t>
  </si>
  <si>
    <t>Постановление Главы Колпашевского района от 05.05.2023 № 44 "О порядке и сроках расходования бюджетных ассигнований резервного фонда финансирования непредвиденных расходов Администрации Томской области"  (в соответствии с распоряжением АТО от 30.03.2023 № 84-р-в)</t>
  </si>
  <si>
    <t>отчетный 2023 год</t>
  </si>
  <si>
    <t>текущий 2024 год</t>
  </si>
  <si>
    <t>плановый период 2026 год</t>
  </si>
  <si>
    <t xml:space="preserve"> очередной 2025 год</t>
  </si>
  <si>
    <t>1.1.1.5.1.2. Организация дорожной деятельности на автомобильных дорогах вне границ населенных пунктов в границах Колпашевского района</t>
  </si>
  <si>
    <t>1.1.1.5.1.1. Содействие в осуществлении дорожной деятельности в отношении автомобильных дорог местного значения</t>
  </si>
  <si>
    <t>1.1.1.13.1.1. Обеспечение безопасности граждан на территории муниципального образования "Колпашевский район"</t>
  </si>
  <si>
    <t>1.1.1.13.1.1.1. Организация видеонаблюдения в образовательных организациях, в муниципальных учреждениях культуры, в местах массового скопления людей, в местах выезда и въезда на территорию населенных пунктов</t>
  </si>
  <si>
    <t>1.1.1.13.1.1.2. Организация и проведение мероприятий профилактической направленности. Изготовление печатной продукции, освещение проблем правонарушений среди несовершеннолетних в средствах массовой информации</t>
  </si>
  <si>
    <t>1.1.1.13.1.1.3. Организация и проведение волонтерских сборов, акций, других мероприятий профилактической направленности</t>
  </si>
  <si>
    <t>1.1.1.13.1.1.4. Проведение мероприятий по очговой заключительной дезинфекции в домашних очагах заразных инфекционных заболеваний с целью предупреждения дальнейшего распространения</t>
  </si>
  <si>
    <t>1.1.1.13.1.1.5. Информационное обеспечение граждан о действиях при угрозе возникновения террористических актов. Организация и проведение мероприятий профилактической направленности</t>
  </si>
  <si>
    <t>1.1.1.13.1.2. Защита населения и территории от чрезвычайных ситуаций природного и техногенного характера, обеспечение безопасности людей на водных объектах Колпашевского района</t>
  </si>
  <si>
    <t>1.1.1.13.1.2.1. Обеспечение населенных пунктов, расположенных в лесной зоне или зоне ежегодного подтопления, системами связи и оповещения населения о пожарах и других чрезвычайных ситуациях</t>
  </si>
  <si>
    <t>1.1.1.13.1.2.2. Обеспечение пожарной безопасности зданий муниципальных учреждений культуры и образовательных организаций Колпашевского района</t>
  </si>
  <si>
    <t>1.1.1.13.1.2.3. Оборудование мест массового отдыха (на водных объектах) соответствующей инфраструктурой, в том числе для обучения детей плаванию, спасательными постами с необходимым снаряжением, оборудованием и инвентарём, обеспечение наглядной агитацией</t>
  </si>
  <si>
    <t>1.1.1.13.1.2.4. Пополнение резервного запаса материально-технических средств для обеспечения проведения мероприятий по предупреждению и ликвидации чрезвычайных ситуаций</t>
  </si>
  <si>
    <t>1.1.1.13.1.1.7. Проведение акций, мероприятий, направленных на профилактику дорожно - транспортного травматизма</t>
  </si>
  <si>
    <t>1.1.1.13.1.2.5. Обустройство и ремонт источников противопожарного водоснабжения и населенных пунктах Колпашевского района</t>
  </si>
  <si>
    <t>1.1.1.13.1.2.6. Создание условий для деятельности добровольных пожарных команд на территориях населенных пунктов, не прикрытых подразделениями пожарной охраны</t>
  </si>
  <si>
    <t>1.1.1.17.1.1. Обеспечение безопасности граждан на территории муниципального образования "Колпашевский район"</t>
  </si>
  <si>
    <t>1.1.1.17.1.1.1. Организация видеонаблюдения в образовательных организациях, в муниципальных учреждениях культуры, в местах массового скопления людей, в местах выезда и въезда на территорию населенных пунктов</t>
  </si>
  <si>
    <t>1.1.1.17.1.2. Защита населения и территории от чрезвычайных ситуаций природного и техногенного характера, обеспечение безопасности людей на водных объектах Колпашевского района</t>
  </si>
  <si>
    <t>1.1.1.17.1.2.1. Обеспечение населенных пунктов, расположенных в лесной зоне или зоне ежегодного подтопления, системами связи и оповещения населения о пожарах и других чрезвычайных ситуациях</t>
  </si>
  <si>
    <t>1.1.1.17.1.3. Развитие муниципальной системы образования Колпашевского района</t>
  </si>
  <si>
    <t>1.1.1.13.1.1.6. Обеспечение антитеррорестической защищенности объектов образования, культуры, опасных объектов и объектов жизнеобеспечения, находящихся в муниципальной собственности</t>
  </si>
  <si>
    <t>1.1.1.17.1.1.2. Обеспечение антитеррорестической защищенности объектов образования, культуры, опасных объектов и объектов жизнеобеспечения, находящихся в муниципальной собственности</t>
  </si>
  <si>
    <t>1.1.1.17.1.2.2. Обеспечение пожарной безопасности зданий муниципальных учреждений культуры и образовательных организаций Колпашевского района</t>
  </si>
  <si>
    <t>1.1.1.17.1.3.1. Создание условий, обеспечивающих приток педагогических кадров в муниципальную систему образования Колпашевского района)</t>
  </si>
  <si>
    <t>1.1.1.17.1.3.2. Организация предоставления дошкольного образования в муниципальных дошкольных образовательных организациях)</t>
  </si>
  <si>
    <t>1.1.1.18.1.1. Обеспечение безопасности граждан на территории муниципального образования "Колпашевский район"</t>
  </si>
  <si>
    <t>1.1.1.18.1.1.2. Обеспечение антитеррорестической защищенности объектов образования, культуры, опасных объектов и объектов жизнеобеспечения, находящихся в муниципальной собственности</t>
  </si>
  <si>
    <t>1.1.1.18.1.1.1. Проведение акций, мероприятий, направленных на профилактику дорожно - транспортного травматизма</t>
  </si>
  <si>
    <t>1.1.1.18.1.2. Развитие муниципальной системы образования Колпашевского района</t>
  </si>
  <si>
    <t>1.1.1.18.1.2.1. Обеспечение условий для предоставления муниципальными образовательными организациями доступного, качественного общего и дополнительного образования)</t>
  </si>
  <si>
    <t>1.1.1.18.1.2.2. Проведение капитального ремонта зданий муниципальных образовательных организаций)</t>
  </si>
  <si>
    <t>1.1.1.18.1.2.3. Создание условий, обеспечивающих приток педагогических кадров в муниципальную систему образования Колпашевского района</t>
  </si>
  <si>
    <t>1.1.1.18.1.2.4.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t>
  </si>
  <si>
    <t>1.1.1.18.1.2.5. Обеспечение питанием отдельных категорий обучающихся муниципальных образовательных организаций</t>
  </si>
  <si>
    <t>1.1.1.18.1.2.6. Региональный проект "Цифровая образовательная среда"</t>
  </si>
  <si>
    <t>1.1.1.18.2.  непрограммное направление расходов</t>
  </si>
  <si>
    <t>1.1.1.19.1.1. Развитие муниципальной системы образования Колпашевского района</t>
  </si>
  <si>
    <t>1.1.1.19.1.1.1. Обеспечение условий для предоставления муниципальными образовательными организациями доступного, качественного общего и дополнительного образования</t>
  </si>
  <si>
    <t>1.1.1.19.1.1.2. Проведение капитального ремонта зданий муниципальных образовательных организаций</t>
  </si>
  <si>
    <t>1.1.1.19.1.1.3. Строительство/реконструкция/ приобретение новых зданий для муниципальных образовательных организаций</t>
  </si>
  <si>
    <t>1.1.1.19.1.1.4. Создание условий, обеспечивающих приток педагогических кадров в муниципальную систему образования Колпашевского района</t>
  </si>
  <si>
    <t>1.1.1.19.1.1.5. Региональный проект "Современная школа"</t>
  </si>
  <si>
    <t>1.1.1.19.1.1.6. Регилнальный проект "Успех каждого ребенка</t>
  </si>
  <si>
    <t>1.1.1.19.1.1.7. Региональный проект "Цифровая образовательная среда"</t>
  </si>
  <si>
    <t>1.1.1.19.1.1.8.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t>
  </si>
  <si>
    <t>1.1.1.19.1.1.9. Обеспечение питанием отдельных категорий обучающихся муниципальных образовательных организаций</t>
  </si>
  <si>
    <t>1.1.1.20.1.1. Обеспечение безопасности граждан на территории муниципального образования "Колпашевский район"</t>
  </si>
  <si>
    <t>1.1.1.20.1.1.1. Изготовление печатной продукции, освещение проблем наркомании и правонарушений среди несовершеннолетних в средствах массовой информации</t>
  </si>
  <si>
    <t>1.1.1.20.1.1.2. Организация и проведение мероприятий профилактической направленности. Изготовление печатной продукции, освещение проблем правонарушений среди несовершеннолетних в средствах массовой информации</t>
  </si>
  <si>
    <t>1.1.1.20.1.1.3. Организация и проведение волонтерских сборов, акций, других мероприятий профилактической направленности</t>
  </si>
  <si>
    <t>1.1.1.20.1.2. Развитие муниципальной системы образования Колпашевского района</t>
  </si>
  <si>
    <t>1.1.1.20.1.2.1. Создание условий, обеспечивающих приток педагогических кадров в муниципальную систему образования Колпашевского района</t>
  </si>
  <si>
    <t>1.1.1.20.1.2.2. Создание условий и предоставление услуг по дополнительному образованию в организациях дополнительного образования</t>
  </si>
  <si>
    <t>1.1.1.20.1.1.4. Организация видеонаблюдения в образовательных организациях, в муниципальных учреждениях культуры, в местах массового скопления людей, в местах выезда и мъеда на территорию населенных пунктов</t>
  </si>
  <si>
    <t>1.1.1.21.1.  расходы в рамках программной деятельности</t>
  </si>
  <si>
    <t>1.1.1.21.1.1.  Развитие муниципальной системы образования Колпашевского района</t>
  </si>
  <si>
    <t>1.1.1.21.1.1.1. Организация отдыха детей и молодёжи</t>
  </si>
  <si>
    <t>1.1.1.22.1.  расходы в рамках программной деятельности</t>
  </si>
  <si>
    <t>1.1.1.22.1.1. Развитие муниципальной системы образования Колпашевского района</t>
  </si>
  <si>
    <t>1.1.1.22.1.1.1. Создание условий для проведения психолого - медико - педагогического обследавания детей и подростков с целью своевременного выявления особенностей в физическом и (или) психическом развитии и (или) отклонений в поведении</t>
  </si>
  <si>
    <t>1.1.1.22.1.1.2. Организация проведения мероприятий и обеспечение участия участников образовательных отношений в мероприятиях различного уровня</t>
  </si>
  <si>
    <t>1.1.1.24.1.1. Повышение уровня благоустройства и качества окружающей среды в населённых пунктах муниципального образования "Колпашевский район"</t>
  </si>
  <si>
    <t>1.1.1.24.1.1.1. Реализация (содействие в реализации) мероприятий, направленных на повышение качества окружающей среды при обращении с отходами</t>
  </si>
  <si>
    <t>1.1.1.25.1.  расходы в рамках программной деятельности</t>
  </si>
  <si>
    <t>1.1.1.25.1.1. Формирование современной городской среды на территории муниципального образования "Колпашевский район"</t>
  </si>
  <si>
    <t>1.1.1.25.1.1.1. Совершенствование территориального планирования, реализация документов территориального планирования и градостроительного зонирования муниципальных образований Колпашевского района</t>
  </si>
  <si>
    <t>1.1.1.27.1.1. Развитие культуры в Колпашевском районе</t>
  </si>
  <si>
    <t>1.1.1.27.1.1.1. Проведение мероприятий, направленных на организацию досуга, развитие местного традиционного народного художественного творчества, библиотечного обслуживания и обеспечение услуг организаций культуры</t>
  </si>
  <si>
    <t>1.1.1.27.2.1. Развитие архивного дела в Колпашевском районе</t>
  </si>
  <si>
    <t>1.1.1.32.1.1. Развитие культуры в Колпашевском районе</t>
  </si>
  <si>
    <t>1.1.1.32.1.1.2. Регилональный проект "Культурная среда"</t>
  </si>
  <si>
    <t>1.1.1.32.1.1.1. Проведение мероприятий, направленных на организацию досуга, развитие местного традиционного народного художественного творчества, библиотечного обслуживания и обеспечение услуг организаций культуры</t>
  </si>
  <si>
    <t>1.1.1.38.1.1. Защита населения и территории от чрезвычайных ситуаций природного и техногенного характера, обеспечение безопасности людей на водных объектах Колпашевского района</t>
  </si>
  <si>
    <t>1.1.1.38.1.1.1. Эксплуатация гидротехнических сооружений, находящихся в собственности муниципального образования "Колпашевский район"</t>
  </si>
  <si>
    <t>1.1.1.39.1.1. Развитие сельскохозяйственного производства в Колпашевском районе</t>
  </si>
  <si>
    <t>1.1.1.42.1.1. Развитие предпринимательства в Колпашевском районе</t>
  </si>
  <si>
    <t>1.1.1.42.1.1.1. Развитие и обеспечение деятельности бизнес - инкубатора Колпашевского района производственного и офисного назначения</t>
  </si>
  <si>
    <t>1.1.1.42.1.1.2. Финансовая поддержка деятельности субъектов малого и среднего предпринимательства</t>
  </si>
  <si>
    <t>1.1.1.43.1.1. Меры поддержки для отдельных категорий граждан и некомерческих организаций на территори муниципального образования "Колпашевский район"</t>
  </si>
  <si>
    <t>1.1.1.43.1.1.1. Создание условий для оказания роддержки отдельным категориям граждан и социально- ориентированным некоммерческим организациям</t>
  </si>
  <si>
    <t>1.1.1.44.1.1. Развитие муниципальной системы образования Колпашевского района</t>
  </si>
  <si>
    <t>1.1.1.44.1.1.1. Содействие развитию физкультурно- спортивных мероприятий среди школьников муниципального образования "Колпашевский рацйон"</t>
  </si>
  <si>
    <t>1.1.1.45.1.1. Развитие физической культуры и массового спорта в Колпашевском районе</t>
  </si>
  <si>
    <t>1.1.1.45.1.1.1. Развитие спортивной инфраструктуры (строительство новых, реконструкция и ремонт имеющихся спортивных сооружений)</t>
  </si>
  <si>
    <t>1.1.1.45.1.1.2. Организация физкультурно - оздоровительной работы с населением</t>
  </si>
  <si>
    <t>1.1.1.45.1.1.3. Региональный проект "Спорт - норма жизни"</t>
  </si>
  <si>
    <t>1.1.1.45.1.1.4. Обеспечение участия спортивных сборных команд муниципального образования «Колпашевский район» в официальных региональных спортивных, физкультурных мероприятиях, проводимых на территории Томской области»</t>
  </si>
  <si>
    <t>1.1.1.45.1.2. Развитие муниципальной системы образования Колпашевского района</t>
  </si>
  <si>
    <t>1.1.1.45.1.2.1. Создание условий и предоставление услуг по дополнительному образованию в организациях дополнительного образования</t>
  </si>
  <si>
    <t>1.1.1.46.1.1. Развитие молодёжной политики в Колпашевском районе</t>
  </si>
  <si>
    <t>1.1.1.46.1.1.1. Организация и проведение межпоселенческих мероприятий по работе с детьми и молодежью</t>
  </si>
  <si>
    <t>1.1.1.53. организация в соответствии с федеральным законом выполнения комплексных кадастровых работ и утверждение карты-плана территории</t>
  </si>
  <si>
    <t>1.1.1.53.1. непрограммное направление расходов</t>
  </si>
  <si>
    <t>1.1.1.53.1.1. Организация комплексных кадастровых работ на территории Колпашевского района</t>
  </si>
  <si>
    <t>1.1.1.57.1.1. Комплексное развитие сельских территорий Колпашевского района Томской области</t>
  </si>
  <si>
    <t>1.1.1.57.1.1.1. Улучшение жилищных условий граждан, проживающих на сельских территориях</t>
  </si>
  <si>
    <t xml:space="preserve">1.1.1.57.1.2. Обеспечение жильём молодых семей в Колпашевском районе </t>
  </si>
  <si>
    <t>1.1.1.57.1.2.1. Предоставление социальной выплаты на приобретение (строительство) жилья</t>
  </si>
  <si>
    <t>1.1.1.66.1.1. Развитие культуры в Колпашевском районе</t>
  </si>
  <si>
    <t>1.1.1.66.1.1.1. Проведение мероприятий, направленных на организацию досуга, развитие местного традиционного народного художественного творчества, библиотечного обслуживания и обеспечение услуг организаций культуры</t>
  </si>
  <si>
    <t>1.1.1.66.1.1.2. Модернизация библиотек Колпашевского района)</t>
  </si>
  <si>
    <t>1.2.1.1.1. Развитие муниципальной службы и кадрового потенциала</t>
  </si>
  <si>
    <t>1.2.1.1.1.1. Повышение эффективности кадровой политики в муниципальном образовании "Колпашевский район"</t>
  </si>
  <si>
    <t>1.2.1.1.2. Совершенствование информационной системы управления</t>
  </si>
  <si>
    <t>1.2.1.1.2.2. Организация эффективной бесперебойной работы информационных систем</t>
  </si>
  <si>
    <t>1.2.1.1.2.1. Организация системы электронного документооборота (СЭД) и справочно-правовой системы</t>
  </si>
  <si>
    <t>1.2.8.1.1. Защита населения и территории от чрезвычайных ситуаций природного и техногенного характера, обеспечение безопасности людей на водных объектах Колпашевского района</t>
  </si>
  <si>
    <t>1.2.8.1.1.1. Обеспечение деятельности ЕДДС Администрации Колпашевского района</t>
  </si>
  <si>
    <t>1.2.8.1.1.2. Оснащение, организация работы ЕДДС Администрации Колпашевского района</t>
  </si>
  <si>
    <t>1.2.8.2.1. Обеспечение эффективного управления и распоряжения муниципальным имуществом</t>
  </si>
  <si>
    <t>1.2.19.1.1. Развитие муниципальной службы и кадрового потенциала</t>
  </si>
  <si>
    <t>1.2.19.1.1.1. Повышение эффективности кадровой политики в муниципальном образовании "Колпашевский район"</t>
  </si>
  <si>
    <t>1.2.19.1.2. Развитие культуры в Колпашевском районе</t>
  </si>
  <si>
    <t>1.2.19.1.2.1. Проведение мероприятий, направленных на организацию досуга, развитие местного традиционного народного художественного творчества, библиотечного обслуживания и обеспечение услуг организаций культуры</t>
  </si>
  <si>
    <t>1.2.20.1.  расходы в рамках программной деятельности</t>
  </si>
  <si>
    <t>1.2.20.1.1. Повышение энергетической эффективности на территории Колпашевского района</t>
  </si>
  <si>
    <t>1.2.20.1.1.1. Координация мероприятий по повышению энергоэффективности использования энергетических ресурсов в многоквартирных домах, в муниципальных учреждениях</t>
  </si>
  <si>
    <t>1.2.21.1. расходы в рамках программной деятельности</t>
  </si>
  <si>
    <t>1.2.21.2. непрограммное направление расходов</t>
  </si>
  <si>
    <t>1.2.24.1. расходы в рамках программной деятельности</t>
  </si>
  <si>
    <t>1.2.24.1.1. Развитие муниципальной системы образования Колпашевского района</t>
  </si>
  <si>
    <t>1.2.24.1.1.1. Обеспечение условий для предоставления муниципальными образовательными организациями доступного, качественного общего и дополнительного образования</t>
  </si>
  <si>
    <t>1.3.1.6.1.1. Развитие внутреннего и въездного туризма на территории Колпашевского района</t>
  </si>
  <si>
    <t>1.3.1.6.1.1.1. Организация и проведение мероприятий, направленных на создание условий для развития туризма</t>
  </si>
  <si>
    <t>1.3.3.3.1.1. Поддержка отдельных категорий граждан  и некоммерческих организаций на территории Колпашевского района</t>
  </si>
  <si>
    <t>1.3.3.3.1.1.1. Создание условий для оказания поддержки отдельным категориям граждан и социально-ориентированным некоммерчкским организациям</t>
  </si>
  <si>
    <t>1.3.3.3.1.2. Обеспечение медицинских организаций системы здравоохранения Колпашевского района квалифицированными медицинскими кадрами</t>
  </si>
  <si>
    <t>1.3.3.3.1.2.1. Создание условий для сокращения кадрового дефицита в медицинских организациях Колпашевского района»</t>
  </si>
  <si>
    <t>1.3.3.3.1.4.1. Создание информационно - профилактической базы для формирования мотивации граждан к здоровому образу жизни</t>
  </si>
  <si>
    <t>1.3.4.4. осуществление оплаты членских, целевых взносов для участия в различных Ассоциациях, межмуниципальных объединениях и организациях, некоммерческих организациях (непрограммное направление расходов)</t>
  </si>
  <si>
    <t>1.6.4.2.2.1.1. Развитие коммунальной инфраструктуры Колпашевского района</t>
  </si>
  <si>
    <t>1.6.4.2.2.1.1.1. Содействие в организации электро-, тепло-, газо-, водоснабжения населения и водоотведения в границах поселений</t>
  </si>
  <si>
    <t>1.6.4.2.4. дорожная деятельность в отношении автомобильных дорог местного значения в границах населенных пунктов городского и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и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</si>
  <si>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1.6.4.2.4.1. расходы в рамках программной деятельности</t>
  </si>
  <si>
    <t>1.6.4.2.4.1.1. Сохранение и развитие автомобильных дорог Колпашевского района</t>
  </si>
  <si>
    <t>1.6.4.2.4.1.1.1. Содействие в осуществлении дорожной деятельности в отношении автомобильных дорог местного значения</t>
  </si>
  <si>
    <t>1.6.4.2.5.1.1. Развитие коммунальной инфраструктуры Колпашевского района</t>
  </si>
  <si>
    <t>1.6.4.2.5.1.1.1. Содействие в обеспечении сохранности муниципального жилого фонда в границах поселений Колпашевского района</t>
  </si>
  <si>
    <t>1.6.4.2.7.1. расходы в рамках программной деятельности</t>
  </si>
  <si>
    <t>1.6.4.2.7.1.1. Организация транспортного обслуживания населения Колпашевского района</t>
  </si>
  <si>
    <t>1.6.4.2.7.1.1.1.Содействие в создании условий для предоставления транспортных услуг населению и организации транспортного обслуживания населения</t>
  </si>
  <si>
    <t>1.6.4.2.8.1. расходы в рамках программной деятельности</t>
  </si>
  <si>
    <t>1.6.4.2.8.1.1. Организация транспортного обслуживания населения Колпашевского района</t>
  </si>
  <si>
    <t>1.6.4.2.8.1.1.1.Содействие в создании условий для предоставления транспортных услуг населению и организации транспортного обслуживания населения</t>
  </si>
  <si>
    <t>1.6.4.2.13.1. непрограммное направление расходов</t>
  </si>
  <si>
    <t>1.6.4.2.13. участие в предупреждении и ликвидации последствий чрезвычайных ситуаций в границах городского и сельского поселения</t>
  </si>
  <si>
    <t>1.6.4.2.13.2. Резервные фонды исполнительного органа государственной власти субъекта Российской Федерации</t>
  </si>
  <si>
    <t>1.6.4.2.14. обеспечение первичных мер пожарной безопасности в границах населенных пунктов городского и сельского поселения</t>
  </si>
  <si>
    <t>1.6.4.2.14.1. расходы в рамках программной деятельности</t>
  </si>
  <si>
    <t>1.6.4.2.14.1.1. Защита населения и территории от чрезвычайных ситуаций природного и техногенного характера, обеспечение безопасности людей на водных объектах Колпашевского района</t>
  </si>
  <si>
    <t>1.6.4.2.14.1.1.1. Обустройство и ремонт источников противопожарного водоснабжения в населенных пунктах Колпашевского района</t>
  </si>
  <si>
    <t>1.6.4.2.14.1.1.2. Создание условий для деятельности добровольных пожарных команд на территориях населенных пунктов, не прикрытых подразделениями пожарной охраны</t>
  </si>
  <si>
    <t>1.6.4.2.20. обеспечение условий для развития на территории городского и сельского поселения физической культуры, школьного спорта и массового спорта</t>
  </si>
  <si>
    <t>1.6.4.2.20.1. расходы в рамках программной деятельности</t>
  </si>
  <si>
    <t>1.6.4.2.20.1.1. Развитие физической культуры и массового спорта в Колпашевском районе</t>
  </si>
  <si>
    <t>1.6.4.2.20.1.1.1. Региональный проект "Спорт - норма жизни"</t>
  </si>
  <si>
    <t>1.6.4.2.21.1.1. Развитие физической культуры и массового спорта в Колпашевском районе</t>
  </si>
  <si>
    <t>1.6.4.2.21.1.1.1. Развитие спортивной инфраструктуры (строительство новых, реконструкция и ремонт имеющихся спортивных сооружений)</t>
  </si>
  <si>
    <t>1.6.4.2.21.1.1.2. Организация физкультурно - оздоровительной работы с населением</t>
  </si>
  <si>
    <t>1.6.4.2.21.1.1.3. Региональный проект "Спорт - норма жизни"</t>
  </si>
  <si>
    <t>1.6.4.2.21.2.1. Резервные фонды исполнительного органа государственной власти субъекта Российской Федерации</t>
  </si>
  <si>
    <t>1.6.4.2.26.1.1. Комплексное развитие сельских территорий Колпашевского района Томской области</t>
  </si>
  <si>
    <t>1.6.4.2.26.1.1.1 Реализация проектов по благоустройству сельских территорий</t>
  </si>
  <si>
    <t>1.6.4.2.26.1.2. Развитие коммунальной инфраструктуры Колпашевского района</t>
  </si>
  <si>
    <t>1.6.4.2.26.2.1. Охрана окружающей среды при обращении с отходами производства и потребления, повышение уровня благоустройства территорий Колпашевского района</t>
  </si>
  <si>
    <t>1.6.4.2.26.2.1.1. Выполнение мероприятий по благоустройству населенных пунктов Колпашевского района</t>
  </si>
  <si>
    <t>1.6.4.2.26.2.1.2. Финансовая поддержка инициативных проектов</t>
  </si>
  <si>
    <t>1.6.4.2.26.2.2. Резервные фонды исполнительного органа государственной власти субъекта Российской Федерации</t>
  </si>
  <si>
    <t>1.6.4.2.29.1. расходы в рамках программной деятельности</t>
  </si>
  <si>
    <t>1.6.4.2.29.1.1. Формирование современной городской среды на территории муниципального образования "Колпашевский район"</t>
  </si>
  <si>
    <t>1.6.4.2.29.1.1.1. Совершенствование территориального планирования, реализация документов территориального планирования и градостроительного зонирования муниципальных образований Колпашевского района</t>
  </si>
  <si>
    <t>1.6.4.2.31. организация ритуальных услуг и содержание мест захоронения</t>
  </si>
  <si>
    <t>1.6.4.2.31.1.  непрограммное направление расходов</t>
  </si>
  <si>
    <t>1.6.4.2.31.1.1. Охрана окружающей среды при обращении с отходами производства и потребления, повышение уровня благоустройства территорий Колпашевского района</t>
  </si>
  <si>
    <t>1.6.4.2.31.1.1.1. Финансовая поддержка инициативных проектов</t>
  </si>
  <si>
    <t>1.6.4.2.50.1. расходы в рамках программной деятельности</t>
  </si>
  <si>
    <t>1.6.4.2.50.1.1. Муниципальные финансы</t>
  </si>
  <si>
    <t>1.6.4.2.50.1.1.1. Выравнивание финансовых возможностей бюджетов поселений Колпашевского района за счёт бюджета муниципального образования «Колпашевский район»</t>
  </si>
  <si>
    <t>1.1.1.7.1.1. Организация транспортного обслуживания населения Колпашевского района</t>
  </si>
  <si>
    <t>Постановление Главы Колпашевского района от 20.12.2023 № 146 "О порядке и сроках расходования иного межбюджетного трансферта из резервного фонда финансирования непредвиденных расходов Администрации Томской области, выделенного бюджету муниципального образования «Колпашевский район» для муниципального автономного общеобразовательного учреждения «Средняя общеобразовательная школа №4 имени Героя Советского Союза Ефима Афанасьевича Жданова» г.Колпашево на укрепление материально-технической базы"</t>
  </si>
  <si>
    <t>20.12.2023- 31.12.2023</t>
  </si>
  <si>
    <t>(499 720)</t>
  </si>
  <si>
    <t>Постановление Главы Колпашевского района от 18.10.2023 № 112 "О порядке и сроках расходования бюджетных ассигнований резервного фонда финансирования непредвиденных расходов Администрации Томской области" (распоряжение АТО от 22.09.2023 № 321-р-в)</t>
  </si>
  <si>
    <t>18.10.2023- 10.12.2023</t>
  </si>
  <si>
    <t>13.07.2023- 31.12.2023</t>
  </si>
  <si>
    <t>1.2.1.1.2.3. Обеспечение открытости и доступности информации о деятельности органов местного самоуправления муниципального образования «Колпашевский район» и органов Администрации Колпашевского района</t>
  </si>
  <si>
    <t>1.2.8.1.2. Развитие муниципальной службы и кадрового потенциала</t>
  </si>
  <si>
    <t>Приложения</t>
  </si>
  <si>
    <t>1.2.8.1.2.1. Повышение эффективности кадровой политики в муниципальном образовании "Колпашевский район"</t>
  </si>
  <si>
    <t>1.6.4.2.1.1.  расходы в рамках программной деятельности</t>
  </si>
  <si>
    <t>1.6.4.2.1.2. непрограммное направление расходов</t>
  </si>
  <si>
    <t>1.6.4.2.1.2.1. Обеспечение эффективного управления и распоряжения муниципальным имуществом</t>
  </si>
  <si>
    <t>1.6.4.1.1.1 Развитие муниципальной службы и кадрового потенциала</t>
  </si>
  <si>
    <t>подпрограмма 1</t>
  </si>
  <si>
    <t>Решение Думы Колпашевского района от 24.11.2023 № 119 "О предоставлении бюджетам поселений Колпашевского района иных межбюджетных трансфертов на поощрение муниципальных управленческих команд"</t>
  </si>
  <si>
    <t>24.11.2023- 20.12.2023</t>
  </si>
  <si>
    <t>Постановление Администрации Колпашевского района от 06.12.2023 № 1113 "Об определении размера иных межбюджетных трансфертах на поощрение муниципальных управленческих команд, предоставляемых бюджетам поселений Колпашевского района в 2023 году"</t>
  </si>
  <si>
    <t>06.12.2023- 31.12.2023</t>
  </si>
  <si>
    <t>(403 508)</t>
  </si>
  <si>
    <t>(100 337)</t>
  </si>
  <si>
    <t>Решение Думы Колпашевского района от 19.09.2023 № 103 "О предоставлении в 2023 году иного межбюджетного трансферта бюджету муниципального образования "Чажемтовское сельское поселение" на приобретение газового котла"</t>
  </si>
  <si>
    <t>19.09.2023- 20.12.2023</t>
  </si>
  <si>
    <t>30.10.2023- 29.12.2023</t>
  </si>
  <si>
    <t>Решение Думы Колпашевского района от 30.10.2023 № 114 "О предоставлении иного межбюджетного трансферта бюджету муниципального образования "Новоселовское сельское поселение" на проведение капитальных ремонтов объектов коммунальной инфраструктуры в целях подготовки хозяйственного комплекса Новоселовского сельского поселения к безаварийному прохождению отопительного сезона" (в редакции от 29.01.2024 № 10)</t>
  </si>
  <si>
    <t>Решение Думы Колпашевского района от 28.08.2023 № 89 "О предоставлении в 2023 году иного межбюджетного трансферта бюджету муниципального образования "Колпашевское городское поселение" на организацию транспортного обслуживания населения внутренним водным транспортом в границах муниципального образования "Колпашевское городское поселение"</t>
  </si>
  <si>
    <t>28.08.2023- 25.12.2023</t>
  </si>
  <si>
    <t>100 330)</t>
  </si>
  <si>
    <t>(100 335)</t>
  </si>
  <si>
    <t>1.6.4.2.14.1.1.3. Проведение мероприятий по защите населённых пунктов от природных пожаров</t>
  </si>
  <si>
    <t>Решение Думы Колпашевского района от 19.09.2023 № 95 "О предоставлении бюджету муниципального образования "Новоселовское сельское поселение", бюджету муниципального образования "Чажемтовское сельское поселение" иных межбюджетных трансфертов на проведение работ по обновлению и созданию минерализованных полос вокруг населённых пунктов"</t>
  </si>
  <si>
    <t>19.09.2023- 25.12.2023</t>
  </si>
  <si>
    <t>(100 333)</t>
  </si>
  <si>
    <t>Постановление Администрации Колпашевского района от 229.08.2023 № 785 "Об иных межбюджетных трансфертах на поощрение поселенческих команд, участвовавших в XVI летней межпоселенческой спартакиаде в с. Чажемто Чажемтовского сельского поселения, из бюджета муниципального образования "Колпашевский район" в 2023 году" (в редакции от 25.10.2023 № 973)</t>
  </si>
  <si>
    <t>29.08.2023- 15.11.2023</t>
  </si>
  <si>
    <t>Решение Думы Колпашевского района от 19.09.2023 № 97 "О предоставлении бюджетам поселений Колпашевского района иных межбюджетных трансфертов на оказание финансовой поддержки поселениям Колпашевского района в целях обеспечения создания условий для занятия населения физической культурой и массовым спортом"</t>
  </si>
  <si>
    <t>19.09.2023- 31.12.2023</t>
  </si>
  <si>
    <t>1.6.4.2.26.1.2.1. Содействие в организации электро-, тепло-, газо-, водоснабжения населения и водоотведения в границах поселений</t>
  </si>
  <si>
    <t>(100 332)</t>
  </si>
  <si>
    <t>Решение Думы Колпашевского района от 28.08.2023 № 84 "О предоставлении иного межбюджетного трансферта бюджету муниципального образования "Колпашевское городское поселение" на выполнение работ по разработке дизайн-проекта и проектно-сметной документации по объектам благоустройства наиболее посещаемых муниципальных территорий общественного пользования"</t>
  </si>
  <si>
    <t>28.08.2023- 27.12.2023</t>
  </si>
  <si>
    <t>2336 (100 323)</t>
  </si>
  <si>
    <t>Постановление Администрации Колпашевского района от 02.10.2023 № 902 "О предоставлении средств иного межбюджетного трансферта на награждение сельского поселения, победителя районной сельскохозяйственной ярмарки "Дары осени", из бюджета муниципального образования "Колпашевский район" в 2023 году"</t>
  </si>
  <si>
    <t>02.10.2023- 10.12.2023</t>
  </si>
  <si>
    <t>2308</t>
  </si>
  <si>
    <t>(100 303)</t>
  </si>
  <si>
    <t>(100 302)</t>
  </si>
  <si>
    <t>(100 301)</t>
  </si>
  <si>
    <t>1005</t>
  </si>
  <si>
    <t>1006</t>
  </si>
  <si>
    <t>1007</t>
  </si>
  <si>
    <t>1010</t>
  </si>
  <si>
    <t>1015</t>
  </si>
  <si>
    <t>1019</t>
  </si>
  <si>
    <t>1026</t>
  </si>
  <si>
    <t>1029</t>
  </si>
  <si>
    <t>1034</t>
  </si>
  <si>
    <t>1036</t>
  </si>
  <si>
    <t>1040</t>
  </si>
  <si>
    <t>1041</t>
  </si>
  <si>
    <t>1047</t>
  </si>
  <si>
    <t>1048</t>
  </si>
  <si>
    <t>1055</t>
  </si>
  <si>
    <t>1059</t>
  </si>
  <si>
    <t>1068</t>
  </si>
  <si>
    <t>1086</t>
  </si>
  <si>
    <t>1118</t>
  </si>
  <si>
    <t>1119</t>
  </si>
  <si>
    <t>1146</t>
  </si>
  <si>
    <t>1201</t>
  </si>
  <si>
    <t>1202</t>
  </si>
  <si>
    <t>1204</t>
  </si>
  <si>
    <t>1206</t>
  </si>
  <si>
    <t>1208</t>
  </si>
  <si>
    <t>1213</t>
  </si>
  <si>
    <t>1219</t>
  </si>
  <si>
    <t>1221</t>
  </si>
  <si>
    <t>1224</t>
  </si>
  <si>
    <t>1226</t>
  </si>
  <si>
    <t>1227</t>
  </si>
  <si>
    <t>1307</t>
  </si>
  <si>
    <t>1503</t>
  </si>
  <si>
    <t>1601</t>
  </si>
  <si>
    <t>1603</t>
  </si>
  <si>
    <t>1604</t>
  </si>
  <si>
    <t>1703</t>
  </si>
  <si>
    <t>1712</t>
  </si>
  <si>
    <t>1722</t>
  </si>
  <si>
    <t>1801</t>
  </si>
  <si>
    <t>1802</t>
  </si>
  <si>
    <t>1805</t>
  </si>
  <si>
    <t>1821</t>
  </si>
  <si>
    <t>1838</t>
  </si>
  <si>
    <t>1854</t>
  </si>
  <si>
    <t>1896</t>
  </si>
  <si>
    <t>2003</t>
  </si>
  <si>
    <t>2101</t>
  </si>
  <si>
    <t>2104</t>
  </si>
  <si>
    <t>2105</t>
  </si>
  <si>
    <t>2301</t>
  </si>
  <si>
    <t>2302</t>
  </si>
  <si>
    <t>2304</t>
  </si>
  <si>
    <t>2313</t>
  </si>
  <si>
    <t>2315</t>
  </si>
  <si>
    <t>2317</t>
  </si>
  <si>
    <t>2318</t>
  </si>
  <si>
    <t>2320</t>
  </si>
  <si>
    <t>2324</t>
  </si>
  <si>
    <t>2326</t>
  </si>
  <si>
    <t>2336</t>
  </si>
  <si>
    <t>2347</t>
  </si>
  <si>
    <t>2352</t>
  </si>
  <si>
    <t>итого</t>
  </si>
  <si>
    <t>0102</t>
  </si>
  <si>
    <t>0103</t>
  </si>
  <si>
    <t>0104</t>
  </si>
  <si>
    <t>0105</t>
  </si>
  <si>
    <t>0106</t>
  </si>
  <si>
    <t>0107</t>
  </si>
  <si>
    <t>0111</t>
  </si>
  <si>
    <t>0113</t>
  </si>
  <si>
    <t>0203</t>
  </si>
  <si>
    <t>0309</t>
  </si>
  <si>
    <t>0310</t>
  </si>
  <si>
    <t>0401</t>
  </si>
  <si>
    <t>0405</t>
  </si>
  <si>
    <t>0406</t>
  </si>
  <si>
    <t>0408</t>
  </si>
  <si>
    <t>0409</t>
  </si>
  <si>
    <t>0410</t>
  </si>
  <si>
    <t>0412</t>
  </si>
  <si>
    <t>0501</t>
  </si>
  <si>
    <t>0502</t>
  </si>
  <si>
    <t>0503</t>
  </si>
  <si>
    <t>0505</t>
  </si>
  <si>
    <t>0701</t>
  </si>
  <si>
    <t>0702</t>
  </si>
  <si>
    <t>0703</t>
  </si>
  <si>
    <t>0705</t>
  </si>
  <si>
    <t>0707</t>
  </si>
  <si>
    <t>0709</t>
  </si>
  <si>
    <t>0801</t>
  </si>
  <si>
    <t>0804</t>
  </si>
  <si>
    <t>1003</t>
  </si>
  <si>
    <t>1004</t>
  </si>
  <si>
    <t>1101</t>
  </si>
  <si>
    <t>1102</t>
  </si>
  <si>
    <t>1103</t>
  </si>
  <si>
    <t>1301</t>
  </si>
  <si>
    <t>1401</t>
  </si>
  <si>
    <t>1403</t>
  </si>
  <si>
    <t>1228</t>
  </si>
  <si>
    <t>0314</t>
  </si>
  <si>
    <t>1.6.4.2.49.1. расходы в рамках программной деятельности</t>
  </si>
  <si>
    <t>Решение Думы Колпашевского района от 28.08.2023 № 77 "О предоставлении иного межбюджетного трансферта бюджету муниципального образования "Новоселовское сельское поселение" на реализацию проекта, отобранного по итогам проведения конкурса проектов и направленного на создание условий для развития туризма и туристической инфраструктуры в Томской области"</t>
  </si>
  <si>
    <t>28.08.2023- 10.12.2023</t>
  </si>
  <si>
    <t>Постановление Администрации Колпашевского района от 18.08.2023 № 748 "О порядке и сроке расходования средств субсидии на софинансирование расходных обязательств, возникших в связи с реализацией проектов, отобранных по итогам проведения конкурса проектов и направленных на создание условий для развития туризма и туристической инфраструктуры в Томской области"</t>
  </si>
  <si>
    <t>18.08.2023- 31.12.2023</t>
  </si>
  <si>
    <t>1.6.4.2.49.1.1. Организация и проведение мероприятий, направленных на создание условий для развития туризма</t>
  </si>
  <si>
    <t>(100 319)</t>
  </si>
  <si>
    <t>1027</t>
  </si>
  <si>
    <t>1077</t>
  </si>
  <si>
    <t>1085</t>
  </si>
  <si>
    <t>2024</t>
  </si>
  <si>
    <t>2025</t>
  </si>
  <si>
    <t>2026</t>
  </si>
  <si>
    <t>01.01.2024- 31.12.2024</t>
  </si>
  <si>
    <t>Решение Думы Колпашевского района от 24.11.2023 № 121 "О предоставлении иного межбюджетного трансферта бюджету муниципального образования "Колпашевское городское поселение" на организацию деятельности катка по адресу г. Колпашево, ул. Кирова, 41"</t>
  </si>
  <si>
    <t>01.01.2024- 27.12.2024</t>
  </si>
  <si>
    <t>Постановление Администрации Колпашевского района от 04.12.2023 № 1096 "Об утверждении муниципальной программы "Развитие сельскохозяйственного производства в Колпашевском районе"</t>
  </si>
  <si>
    <t>01.01.2024- 31.12.2029</t>
  </si>
  <si>
    <t>Постановление Администрации Колпашевского района от 08.12.2023 № 1122 "Об утверждении муниципальной программы "Муниципальные финансы"</t>
  </si>
  <si>
    <t>Постановление Администрации Колпашевского района от 13.12.2023 № 1138 "Об утверждении муниципальной программы "Повышение уровня благоустройства в населённых пунктах Колпашевского района и качества окружающей среды в Колпашевском районе"</t>
  </si>
  <si>
    <t>Решение Думы Колпашевского районат от 31.01.2020 № 3 "О порядке предоставления и распределения иных межбюджетных трансфертов из бюджета муниципального образования "Колпашевский район" бюджетам поселений Колпашевского района на компенсацию расходов по организации электроснабжения от дизельных электростанций" (в редакции от 10.12.2020 № 35, от 30.01.2023 № 2, от 15.12.2023 № 130)</t>
  </si>
  <si>
    <t>Решение Думы Колпашевского района от 24.11.2023 № 120 "О предоставлении бюджетам поселений Колпашевского района иных межбюджетных трансфертов на обустройство спортивных объектов в поселениях Колпашевского района" (в редакции от 15.12.2023 № 132)</t>
  </si>
  <si>
    <t>01.01.2024- 23.12.2024</t>
  </si>
  <si>
    <t>01.01.2024- 25.12.2024</t>
  </si>
  <si>
    <t>Решение Думы Колпашевского района от 30.01.2023 № 13 "О предоставлении иного межбюджетного трансферта на организацию электроснабжения населённых пунктов Колпашевского района" (в редакции от 28.08.2023 № 82, от 15.12.2023 № 137)</t>
  </si>
  <si>
    <t>Решение Думы Колпашевского района от 14.06.2023 № 61 "О предоставлении иного межбюджетного трансферта из бюджета муниципального образования "Колпашевский район" бюджету муниципального образования "Колпашевское городское поселение" на приобретение новогодних светодиодных перетяжек" (в редакции от 15.12.2023 № 138)</t>
  </si>
  <si>
    <t>Решение Думы Колпашевского района от 29.05.2023 № 53 "О предоставлении иного межбюджетного трансферта на электроснабжение коммунальных объектов" (в редакции от 19.09.2023 № 100, от 15.12.2023 № 143)</t>
  </si>
  <si>
    <t>29.05.2023- 29.12.2023</t>
  </si>
  <si>
    <t>Решение Думы Колпашевского района от 28.07.2023 № 73 "О предоставлении в 2023 году иного межбюджетного трансферта бюджету муниципального образования "Колпашевское городское поселение" на приобретение экскаватора" (в редакции от 15.12.2023 № 144)</t>
  </si>
  <si>
    <t>Постановление Администрации Колпашевского района от 09.01.2024 № 2 "Об утверждении муниципальной программы "Поддержка отдельных категорий граждан и некоммерческих организаций на территории Колпашевского района"</t>
  </si>
  <si>
    <t>Постановление Администрации Колпашевского района от 16.01.2024 № 16 "Об иных межбюджетных трансфертах на компенсацию расходов по организации электроснабжения от дизельных электростанций в 2024 году"</t>
  </si>
  <si>
    <t>16.01.2024- 26.12.2024</t>
  </si>
  <si>
    <t>29.01.2024- 31.12.2024</t>
  </si>
  <si>
    <t>Постановление Администрации Колпашевского района от 29.01.2024 № 82 "О средствах бюджета муниципального образования «Колпашевский район», направляемых на достижение целевых показателей по плану мероприятий («дорожной карте») «Изменения в сфере культуры, направленные на повышение её эффективности», в части повышения заработной платы работников культуры муниципальных учреждений культуры, порядке и сроках расходования средств субсидии предоставленной из бюджета Томской области, об утверждении Порядка определения объёма и условия предоставления субсидии муниципальным бюджетным учреждениям культуры Колпашевского района на достижение целевых показателей по плану мероприятий («дорожной карте») «Изменения в сфере культуры, направленные на повышение её эффективности», в части повышения заработной платы работников культуры муниципальных учреждений культуры"</t>
  </si>
  <si>
    <t>25.01.2022-31.12.2023</t>
  </si>
  <si>
    <t>1.1.1.27. формирование и содержание муниципального архива, включая хранение архивных фондов поселений</t>
  </si>
  <si>
    <t>1.1.1.7.1.2. Содействие в создании условий для предоставления транспортных услуг населению и организации транспортного обслуживания населения</t>
  </si>
  <si>
    <t>1.1.1.17.1.3.3.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t>
  </si>
  <si>
    <t>1.1.1.17.1.3.4. Обеспечение питанием отдельных категорий обучающихся муниципальных образовательных организаций</t>
  </si>
  <si>
    <t>(409 570)</t>
  </si>
  <si>
    <t>(409 612)</t>
  </si>
  <si>
    <t>(209 622)</t>
  </si>
  <si>
    <t>(209 623)</t>
  </si>
  <si>
    <t>1.1.1.19.1.1.10. Региональный проект "Патриотическое воспитание граждан Российской Федерации"</t>
  </si>
  <si>
    <t xml:space="preserve">1.1.1.19.2.1. Расходы за счет резервных фондов Администрации Томской области </t>
  </si>
  <si>
    <t>(209 683)</t>
  </si>
  <si>
    <t>(209 574)</t>
  </si>
  <si>
    <t>06.04.2022- 31.12.2023</t>
  </si>
  <si>
    <t>1.1.1.20.2.1. Расходы за счет резервных фондов Администрации Томской области</t>
  </si>
  <si>
    <t>1.1.1.32.2.1. Расходы за счет резервных фондов Администрации Томской области</t>
  </si>
  <si>
    <t>1.1.1.39.1.1.1. Содействие в развитии деятельности малых форм хозяйствования</t>
  </si>
  <si>
    <t>1.1.1.39.1.1.2. Расширение рынка сбыта сельскохозяйственной продукции, произведенной в личных подсобных хозяйствах и крестьянских (фермерских) хозяйствах</t>
  </si>
  <si>
    <t>(211 578)</t>
  </si>
  <si>
    <t>(227 601)</t>
  </si>
  <si>
    <t>(227 604)</t>
  </si>
  <si>
    <t>(227 600)</t>
  </si>
  <si>
    <t>1.1.1.69.1.1. Реализация (содействие в реализации) мероприятий, направленных на улучшение состояния благоустройства муниципального образования «Колпашевский район</t>
  </si>
  <si>
    <t>1.1.2.18. организация библиотечного обслуживания населения, комплектование и обеспечение сохранности библиотечных фондов библиотек  поселения</t>
  </si>
  <si>
    <t>1.1.2.18.1.  расходы в рамках программной деятельности</t>
  </si>
  <si>
    <t>1.1.2.18.1.1. Проведение мероприятий, направленных на организацию досуга, развитие местного традиционного народного художественного творчества, библиотечного обслуживания и обеспечение услуг организаций культуры</t>
  </si>
  <si>
    <t>1.1.2.18.1.1.1. Финансовое обеспечение части переданных полномочий по решению вопроса местного значения «Организация библиотечного обслуживания населения, комплектование и обеспечение сохранности библиотечных фондов библиотек поселений»</t>
  </si>
  <si>
    <t>1.1.2.18.1.1.1. Финансовое обеспечение части переданных полномочий по решению вопроса местного значения «Создание условий для организации досуга и обеспечения жителей сельских поселений услугами организаций культуры»</t>
  </si>
  <si>
    <t>1.2.13.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
(непрограммное направление расходов)</t>
  </si>
  <si>
    <t>(411 659)</t>
  </si>
  <si>
    <t>1.1.1.39.1.2. Эффективное вовлечения в оборот земель сельскохозяйственного назначения и развитие мелиоративного комплекса Томской области</t>
  </si>
  <si>
    <t>1.1.1.39.1.2.1. Создание условий для вовлечения в оборот земель сельскохозяйственного назначения</t>
  </si>
  <si>
    <t>(206 502)</t>
  </si>
  <si>
    <t>(206 503)</t>
  </si>
  <si>
    <t>Подпрограмма 2, Прил. 2</t>
  </si>
  <si>
    <t>01.01.2020- 31.12.2028</t>
  </si>
  <si>
    <t>(100 307)</t>
  </si>
  <si>
    <t>1.6.4.2.2.1.1.2.  Региональный проект "Чистая вода"</t>
  </si>
  <si>
    <t>(219 504)</t>
  </si>
  <si>
    <t>Прил. 2.1.</t>
  </si>
  <si>
    <t>(227 508)</t>
  </si>
  <si>
    <t>(227 509)</t>
  </si>
  <si>
    <t>01.01.2024- 31.12.2028</t>
  </si>
  <si>
    <t>1.6.4.2.26.1.3. Повышение уровня благоустройства в населённых пунктах Колпашевского района и качества окружающей среды в Колпашевском районе"</t>
  </si>
  <si>
    <t>1.6.4.2.26.1.3.1. Повышение уровня благоустройства в населённых пунктах Колпашевского района и качества окружающей среды в Колпашевском районе</t>
  </si>
  <si>
    <t>(100 350)</t>
  </si>
  <si>
    <t>Решение Думы Колпашевского района от 29.01.2024 № 4 "О предоставлении бюджетам поселений Колпашевского района иных межбюджетных трансфертов на на обеспечение условий для развития физической культуры и массового спорта"</t>
  </si>
  <si>
    <t>29.01.2024- 27.12.2024</t>
  </si>
  <si>
    <t>Решение Думы Колпашевского района от 25.01.2021 № 16 "О предоставлении субвенций бюджетам поселений Колпашевского района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(в редакции от 27.02.2023 № 20, от 29.01.2024 № 5)</t>
  </si>
  <si>
    <t>29.01.2024- 28.12.2024</t>
  </si>
  <si>
    <t>Решение Думы Колпашевского района от 15.12.2023 № 133 "О предоставлении иного межбюджетного трансферта на осуществление дорожной деятельности в отношении автомобильных дорог общего пользования местного значения в границах населенных пунктов Колпашевского района" (в редакции от 29.01.2024 № 13)</t>
  </si>
  <si>
    <t>Решние Думы Колпашевского района от 29.01.2024 № 14 "О предоставлении иного межбюджетного трансферта бюджету муниципального образования "Колпашевское городское поселение" на улучшение состояния благоустройства муниципальных территорий общественного пользования"</t>
  </si>
  <si>
    <t>Решение Думы Колпашевского района от 29.01.2024 № 16 "О предоставлении иных межбюджетных трансфертов из бюджета муниципального образования "Колпашевский район" бюджетам поселений, входящих в состав муниципального образования "Колпашевский район" на реализацию мероприятий по обеспечению доступа к воде питьевого качества населения сельских территорий"</t>
  </si>
  <si>
    <t>Решние Думы Колпашевского района от 29.01.2024 № 17 "О предоставлении иного межбюджетного трансферта бюджету муниципального образования "Колпашевское городское поселение" на выполнение работ по созданию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</si>
  <si>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Решние Думы Колпашевского района от 29.01.2024 № 18 "О предоставлении иного межбюджетного трансферта из бюджета муниципального образования "Колпашевский район" бюджету муниципального образования "Чажемтовское сельское поселение" на мероприятия по обеспечению комплексного развития сельских территорий (реализация проектов по благоустройству сельских территорий)"</t>
  </si>
  <si>
    <t>Решение Думы Колпашевского района от 29.04.2013 № 36 "О порядке использования средств бюджета муниципального образования «Колпашевский район на реализацию мероприятий, направленных на создание условий для развития сельскохозяйственного производства в поселениях, расширенре рынка сельскохозяйственной продукции, сырья, продовольствия" (в редакции от 27.11.2015 № 44, от 25.11.2019 № 124, от 26.08.2020 № 104, от 25.10.2021 № 138, от 29.01.2024 № 19)</t>
  </si>
  <si>
    <t>Решение Думы Колпашевского района от 29.01.2024 № 20 "О предоставлении бюджету муниципального образования "Саровское сельское поселение" иного межбюджетного трансферта на организацию работы добровольных пожарных команд на территориях населённых пунктов, неприкрытых подразделениями пожарной охраны"</t>
  </si>
  <si>
    <t>29.01.2024- 25.12.2024</t>
  </si>
  <si>
    <t>Решение Думы Колпашевского района от 29.01.2024 № 21 "О предоставлении иного межбюджетного трансферта бюджету муниципального образования "Саровское сельское поселение" на обустройство источника противопожарного водоснабжения в д.Чугунка"</t>
  </si>
  <si>
    <t>Решение Думы Колпашевского района от 28.06.2016 № 59 "Об утверждении Положения о порядке финансирования расходов на организацию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муниципальных общеобразовательных организациях муниципального образования "Колпашевский район" за счёт средств бюджета муниципального образования "Колпашевский район" (в редакции от 19.12.2016 № 125, от 28.02.2019 № 18, от 29.01.2024 № 22)</t>
  </si>
  <si>
    <t>Постановление Администрации Колпашевского района от 30.01.2024 № 89 "О порядке и сроке расходования субсидии из областного бюджета бюджету муниципального образования «Колпашевский район» на мероприятия по обеспечению комплексного развития сельских территорий (реализация проектов по благоустройству сельских территорий)"</t>
  </si>
  <si>
    <t>30.01.2024- 31.12.2024</t>
  </si>
  <si>
    <t>01.02.2024- 31.12.2025</t>
  </si>
  <si>
    <t>06.02.2024- 31.12.2024</t>
  </si>
  <si>
    <t>Постановление Администрации Колпашевского района от 06.02.2024 № 109 "О порядке и сроках расходования средств субсидии на разработку (корректировка) проектной документации для проведения капитального ремонта зданий муниципальных общеобразовательных организаций в рамках модернизации школьных систем образования в Томской области"</t>
  </si>
  <si>
    <t>Постановление Администрации Колпашевского района от 25.01.2022 № 81 "О порядке и сроках расходования средств иного межбюджетного трансферта на выплату ежемесячного денежного вознаграждения за классное руководство педагогическим работникам муниципальных общеобразовательных организаций и об утверждении Порядка определения объёма и условий предоставления субсидий из средств бюджета муниципального образования "Колпашевский район" муниципальным бюджетным общеобразовательным организациям и муниципальным автономным общеобразовательным организациям на выплату ежемесячного денежного вознаграждения за классное руководство педагогическим работникам муниципальных общеобразовательных организаций" (в редакции от 14.04.2022 № 484, от 27.03.2023 № 289, от 15.02.2024 № 142)</t>
  </si>
  <si>
    <t>25.01.2022-31.12.2024</t>
  </si>
  <si>
    <t>Постановление Администрации Колпашевского района от 16.02.2024 № 147 "О порядке и сроках расходования средств субсидии на государственную поддержку отрасли культуры по модернизации библиотек в части комплектования книжных фондов библиотек муниципальных образований и государственных общедоступных библиотек субъектов Российской Федерации, кроме гг. Москвы и Санкт-Петербурга и об утверждении Порядка определения объема и условия предоставления Муниципальному бюджетному учреждению «Библиотека» субсидии на государственную поддержку отрасли культуры по модернизации библиотек в части комплектования книжных фондов библиотек муниципальных образований и государственных общедоступных библиотек субъектов Российской Федерации, кроме гг. Москвы и Санкт-Петербурга"</t>
  </si>
  <si>
    <t>16.02.2024- 31.12.2024</t>
  </si>
  <si>
    <t>Постановление Администрации Колпашевского района оот 16.02.2024 № 148 "О средствах бюджета муниципального образования «Колпашевский район», направляемых на организацию транспортного обслуживания населения внутренним водным транспортом в границах Колпашевского района и порядке и сроке расходования субсидии из областного бюджета бюджету муниципального образования «Колпашевский район» на организацию транспортного обслуживания населения внутренним водным транспортом в границах муниципальных районов"</t>
  </si>
  <si>
    <t>ПостановлениеАдминистрации Колпашевского района от 14.08.2020 № 862 "Об утверждении муниципальной программы "Комплексное развитие сельских территорий Колпашевского района Томской области" (от 27.01.2021 № 114, от 07.06.2021 № 671, от 28.01.2022 № 90, от 03.03.2022 № 280, от 28.04.2022 № 574, от 06.02.2023 № 83, от 16.03.2023 № 246, от 17.01.2024 № 32, от 16.02.2024 № 149)</t>
  </si>
  <si>
    <t>Постановление Администрации Колпашевского района от 10.10.2018 № 1081 "Об утверждении муниципальной программы "Развитие предпринимательства в Колпашевском районе" (в редакции от 13.12.2018 № 1349, от 17.01.2020 № 15, от 10.07.2020 № 716, от 11.09.2020 № 1003, от 22.01.2021 № 77, от 10.08.2021 № 950, от 24.11.2021 № 1404, от 31.01.2022 № 107, от 24.03.2022 № 382, от 18.05.2022 № 669, от 07.02.2023 № 95, от 10.05.2023 № 406, от 20.07.2023 № 637, от 16.02.2024 № 150)</t>
  </si>
  <si>
    <t>Постановление Администрации Колпашевского района от 27.01.2021 № 99 "Об утверждении муниципальной программы "Укрепление общественного здоровья населения Колпашевского района" (в редакции от 13.04.2022 № 471, от 07.02.2023 № 96, от 16.02.2024 № 151)</t>
  </si>
  <si>
    <t>Постановление Администрации Колпашевского района от 30.12.2022 № 1531 "Об утверждении муниципальной программы "Повышение энергетической эффективности на территории Колпашевского района" (в редакции от 19.02.2024 № 153)</t>
  </si>
  <si>
    <t>Постановление Администрации Колпашевского района от 21.02.2024 № 164 "О порядке и сроках расходования средств субсидии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 и об утверждении Порядка определения объёма и условия предоставления субсидии из бюджета муниципального образования «Колпашевский район» муниципальным бюджетным образовательным организациям и муниципальным автономным образовательным организациям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</si>
  <si>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21.02.2024, не установлен</t>
  </si>
  <si>
    <t>Постановление Администрации Колашевского района от 16.12.2022 № 1458 "О порядке и сроках расходования средств субсидии на оплату труда руководителям и специалистам муниципальных учреждений культуры и искусства в части выплат надбавок и доплат к тарифной ставке (должностному окладу) из областного бюджета и утверждении Порядка определения объёма и условия предоставления муниципальным бюджетным учреждениям субсидии на оплату труда руководителей и специалистов муниципальных учреждений культуры и искусства в части выплат надбавок и доплат к тарифной ставке (должностному окладу)" (в редакции от 09.02.2023 № 1085, от 26.02.2024 № 173)</t>
  </si>
  <si>
    <t>16.12.2022, не установлен</t>
  </si>
  <si>
    <t>1.1.1.18.2.1. Расходы за счет резервных фондов Администрации Томской области</t>
  </si>
  <si>
    <t>1.1.1.18.1.2.7. Региональный проект "Успех каждого ребенка"</t>
  </si>
  <si>
    <t>1.1.1.18.1.2.8. Региональный проект "Патриотическое воспитание граждан Российской Федерации"</t>
  </si>
  <si>
    <t>Постановление Администрации Колпашевского района от 02.02.2023 № 73 "О финансировании мероприятия по оказанию помощи в ремонте и (или) переустройстве жилых помещений граждан, не стоящих на учёте в качестве нуждающихся в улучшении жилищных условий, и не реализовавших своё право на улучшение жилищных условий за счёт средств федерального и областного бюджетов в 2009 и последующих годах, из числа: участников и инвалидов Великой Отечественной войны 1941-1945 годов; тружеников тыла военных лет; лиц, награждённых знаком "Жителю блокадного Ленинграда"; лиц, награжденных знаком "Житель осажденного Севастополя"; бывших несовершеннолетних узников концлагерей; вдов погибших (умерших) участников Великой Отечественной войны 1941-1945 годов, не вступивших в повторный брак" (в редакции от 29.01.2024 № 79)</t>
  </si>
  <si>
    <t>02.02.2023- 31.12.2024</t>
  </si>
  <si>
    <t>(209 804)</t>
  </si>
  <si>
    <t>(209 805)</t>
  </si>
  <si>
    <t>(213 803)</t>
  </si>
  <si>
    <t>(100 314)</t>
  </si>
  <si>
    <t>Решение Думы Колпашевского района от 29.01.2024 № 12 "О предоставлении иных межбюджетных трансфертов из бюджета муниципального образования "Колпашевский район" бюджетам поселений, входящих в состав муниципального образования "Колпашевский район", на организацию водоснабжения и водоотведения населённых пунктов Колпашевского района" (в редакции от 26.02.2024 № 26)</t>
  </si>
  <si>
    <t>Решение Думы Колпашевского района от 26.02.2024 № 27 "О предоставлении иных межбюджетных трансфертов из бюджета муниципального образования "Колпашевский район" бюджетам поселений, входящих в состав муниципального образования "Колпашевский район", на организацию электроснабжения населённых пунктов Колпашевского района"</t>
  </si>
  <si>
    <t>Решение Думы Колпашевского района от 26.02.2024 № 28 "О предоставлении иного межбюджетного трансферта из бюджета муниципального образования "Колпашевский район" бюджету муниципального образования "Саровское сельское поселение" на обслуживание и проведение ремонтных работ воздушной линии электропередачи, расположенной по адресу: Российская Федерация, Томская область, Саровское сельское поселение, СНТ "Мичуринец", сооружение 1, воздушная линия электропередачи 0,4 кВ"</t>
  </si>
  <si>
    <t>Решение думы колпашевского района от 26.02.2024 № 29 "О предоставлении из бюджета муниципального образования "Колпашевский район" бюджетам поселений, входящих в состав муниципального образования "Колпашевский район", иных межбюджетных трансфертов на создание, содержание, обустройство мест накопления твёрдых коммунальных отходов"</t>
  </si>
  <si>
    <t>26.02.2024- 31.12.2024</t>
  </si>
  <si>
    <t>Постановление Администрации Колпашевского района от 22.12.2021 № 1508 "Об утверждении муниципальной программы "Развитие транспортной инфраструктуры в Колпашевском районе" (в редакции от 18.02.2022 № 205, от 01.02.2023 № 63, от 12.04.2023 № 331, от 01.02.2024 № 95, от 09.02.2024 № 126, от 28.02.2024 № 186)</t>
  </si>
  <si>
    <t>Постановление Администрации Колпашевского района от 28.02.2024 № 187 "О порядке и сроках расходования средств субсидии на поддержку отрасли культуры (государственная поддержка лучших работников сельских учреждений культуры и лучших сельских учреждений культуры) и об утверждении Порядка определения объёма и условия предоставления муниципальным бюджетным учреждениям субсидии на государственную поддержку лучших сельских учреждений культуры и лучших работников сельских учреждений культуры"</t>
  </si>
  <si>
    <t>28.02.2024- 31.12.2024</t>
  </si>
  <si>
    <t>Постановление Администрации Колпашевского района от 28.12.2021 № 1533 "Об утверждении муниципальной программы "Обеспечение медицинских организаций системы здравоохранения Колпашевского района квалифицированными медицинскими кадрами" (в редакции от 07.02.2023 № 97, от 21.02.2023 № 149, от 07.02.2024 № 117)</t>
  </si>
  <si>
    <t>29.02.2024- 18.12.2024</t>
  </si>
  <si>
    <t>Постановление Администрации Колпашевского района от 21.10.2022 № 1281 «Об утверждении порядка предоставления субсидии на развитие и обеспечение деятельности бизнес-инкубатора Колпашевского района производственного и офисного назначения» (в редакции от 10.03.2023 № 213, от 29.02.2024 № 197)</t>
  </si>
  <si>
    <t>Постановление Администрации Колпашевского района от 29.02.2024 № 198 "О порядке и сроке расходования субсидии из областного бюджета бюджету муниципального образования «Колпашевский район» на капитальный ремонт и (или) ремонт автомобильных дорог общего пользования местного значения"</t>
  </si>
  <si>
    <t>29.02.2024- 16.12.2024</t>
  </si>
  <si>
    <t>Постановление Администрации Колпашевского района от 29.02.2024 № 193 "Об иных межбюджетных трансфертах на капитальный ремонт и (или) ремонт автомобильных дорог общего пользования местного значения, предоставляемых бюджетам поселений Колпашевского района в 2024 году" (в редакции от 05.03.2024 № 203)</t>
  </si>
  <si>
    <t>Постановление Администрации Колпашевского района от 01.02.2024 № 98 "О порядке и сроках расходования средств субсидии на реализацию мероприятий по модернизации школьных систем образования (проведение капитального ремонта зданий (обособленных помещений) муниципальных общеобразовательных организаций)" (в редакции от 11.03.2024 № 214)</t>
  </si>
  <si>
    <t>1.1.1.66.1.1.3. Регилональный проект "Творческие люди"</t>
  </si>
  <si>
    <t>(100 318)</t>
  </si>
  <si>
    <t>(100 320)</t>
  </si>
  <si>
    <t>(100 317)</t>
  </si>
  <si>
    <t>Постановление Администрации Колпашевского района от 22.03.2024 № 256 "О порядке расходования средств субсидии из бюджета Томской области на реализацию мероприятий по обеспечению жильём молодых семей"</t>
  </si>
  <si>
    <t>22.03.2024- 31.12.2024</t>
  </si>
  <si>
    <t>Постановление Администрации Колпашевского района от 22.03.2024 № 261 "Об иных межбюджетных трансфертах на поощрение поселенческих команд, участвовавших в XV зимней межпоселенческой спартакиаде в д.Новогорное Новогоренского сельского поселения, из бюджета муниципального образования «Колпашевский район» в 2024 году"</t>
  </si>
  <si>
    <t>22.03.2024- 27.10.2024</t>
  </si>
  <si>
    <t>Постановление Администрации Колпашевского района от 25.03.2024 № 265 "О порядке и сроке расходования средств субсидии из областного бюджета на софинансирование расходов на развитие и обеспечение деятельности муниципальных бизнес-инкубаторов, предусмотренных в муниципальных программах (подпрограммах), содержащих мероприятия, направленные на развитие малого и среднего предпринимательства"</t>
  </si>
  <si>
    <t>25.03.2024- 31.12.2024</t>
  </si>
  <si>
    <t>Постановление Администрации Колпашевского района от 24.12.2020 № 1407 "Об утверждении муниципальной программы "Совершенствование системы муниципального управления в Колпашевском районе" (в редакции от 03.09.2021 № 1058, от 08.02.2022 № 138, от 06.07.2022 № 864, от 27.12.2022 № 1510, от 14.04.2023 № 338, от 18.01.2024 № 39, от 26.03.2024 № 271)</t>
  </si>
  <si>
    <t>Постановление Администрации Колпашевского района от 15.12.2021 № 1489 "Об утверждении муниципальной программы "Развитие муниципальной системы образования Колпашевского района" (в редакции от 17.03.2022 № 356, от 18.11.2022 № 1381, от 30.12.2022 № 1532, от 27.03.2023 № 287, от 04.05.2023 № 394, от 15.11.2023 № 1045, от 27.02.2024 № 177, от 26.03.2024 № 272)</t>
  </si>
  <si>
    <t>Постановление Администрации Колпашевского района  от 28.04.2022 № 573 «О порядке и сроке расходования средств иного межбюджетного трансферта на организацию системы выявления, сопровождения одарённых детей и об утверждении Порядка определения объёма и условия предоставления субсидии из бюджета муниципального образования «Колпашевский район» муниципальному автономному общеобразовательному учреждению «Средняя общеобразовательная школа № 7» г.Колпашево на организацию системы выявления, сопровождения одарённых детей" (в редакии от 27.03.2023 № 289, от 27.03.2024 № 282)</t>
  </si>
  <si>
    <t>Постановление Администрации Колпашевского района от 06.04.2022 № 438 "О порядке расходования средств иного межбюджетного трансферта на достижение целевых показателей по плану мероприятий ("дорожная карта") "Изменения в сфере образования в Томской области" в части повышения заработной платы педагогических работников муниципальных дошкольных образовательных организаций, и об утверждении Порядка определения объёма и условия предоставления субсидии из средств бюджета муниципального образования "Колпашевский район" муниципальным бюджетным общеобразовательным организациям и муниципальным автономным общеобразовательным организациям субсидии на достижение целевых показателей по плану мероприятий ("дорожная карта") "Изменения в сфере образования в Томской области" в части повышения заработной платы педагогических работников муниципальных дошкольных образовательных организаций" (в редакции от 27.03.2023 № 289, от 27.03.2024 № 288)</t>
  </si>
  <si>
    <t>Постановление Администрации Колпашевского района от 06.04.2022 № 437 "О порядке расходования средств субсидии на достижение целевых показателей по Плану мероприятий («дорожной карте») «Изменения в сфере образования в Томской области» в части повышения заработной платы педагогических работников муниципальных организаций дополнительного образования Томской области, и об утверждении Порядка определения объёма и условия предоставления субсидии из средств бюджета муниципального образования «Колпашевский район» муниципальным бюджетным общеобразовательным организациям и муниципальным автономным общеобразовательным организациям субсидии на достижение целевых показателей по Плану мероприятий («дорожной карте») «Изменения в сфере образования в Томской области» в части повышения заработной платы педагогических работников муниципальных организаций дополнительного образования Томской области" (в редакции от 27.03.2023 № 289, от 27.03.2024 № 289)</t>
  </si>
  <si>
    <t>Постановление Администрации Колпашевского района от 30.12.2021 № 1559 "Об утверждении муниципальной программы "Обеспечение безопасности населения Колпашевского района" (в редакции от 18.05.2022 № 665, от 06.02.2023 № 84, от 20.03.2023 № 265, от 09.02.2024 № 123, от 29.03.2024 № 300)</t>
  </si>
  <si>
    <t>Постановление Администрации Колпашевского района от 01.04.2024 № 302 "О порядке и сроке расходования субсидии из областного бюджета бюджету муниципального образования "Колпашевский район" на проведение капитальных ремонтов объектов коммунальной инфраструктуры в целях подготовки хозяйственного комплекса Томской области к безаварийному прохождению отопительного сезона"</t>
  </si>
  <si>
    <t>01.04.2024- 31.12.2024</t>
  </si>
  <si>
    <t>Решение Думы Колпашевского района от 02.04.2024 № 33 "О предоставлении бюджету муниципального образования "Новогоренское сельское поселение" иного межбюджетного трансферта на приобретение бензинового генератора для оснащения источника противопожарного водоснабжения в д.Новогорное"</t>
  </si>
  <si>
    <t>02.04.2024- 25.12.2024</t>
  </si>
  <si>
    <t>Решение Думы Колпашевского района от 29.01.2024 № 11 "О предоставлении иных межбюджетных трансфертов из бюджета муниципального образования "Колпашевский район" бюджетам поселений, входящих в состав муниципального образования "Колпашевский район", на организацию теплоснабжения населённых пунктов Колпашевского района" (в редакции от 26.02.2024 № 25, от 02.04.2024 № 34)</t>
  </si>
  <si>
    <t>Решение Думы Колпашевского района от 15.12.2023 № 135 "О предоставлении иного межбюджетного трансферта бюджету муниципального образования "Колпашевское городское поселение" на организацию транспортного обслуживания населения Колпашевского городского поселения автомобильным транспортом" (в редакции от 02.04.2024 № 35)</t>
  </si>
  <si>
    <t>Решение Думы Колпашевского района от 02.04.2024 № 36 "О предоставлении иного межбюджетного трансферта бюджету муниципального образования "Колпашевское городское поселение" на выполнение работ по строительному контролю и авторскому надзору по объектам благоустройства наиболее посещаемых муниципальных территорий общественного пользования"</t>
  </si>
  <si>
    <t>02.04.2024- 31.12.2024</t>
  </si>
  <si>
    <t>Решние Думы Колпашевского района от 29.01.2024 № 15 "О предоставлении из бюджета муниципального образования "Колпашевский район" бюджетам поселений, входящих в состав муниципального образования "Колпашевский район", иных межбюджетных трансфертов на улучшение состояния благоустройства населённых пунктов Колпашевского района" (в редакции от 02.04.2024 № 37)</t>
  </si>
  <si>
    <t>Решение Думы Колпашевского района от 02.04.2024 № 38 "О предоставлении иных межбюджетных трансфертов из бюджета муниципального образования "Колпашевский район" бюджетам поселений, входящих в состав муниципального образования "Колпашевский район", на подготовку проектов изменений в генеральные планы, правила землепользования и застройки"</t>
  </si>
  <si>
    <t>Решение Думы Колпашевского района от 02.04.2024 № 39 "О предоставлении иного межбюджетного трансферта бюджету муниципального образования "Колпашевское городское поселение" на проведение капитальных ремонтов объектов коммунальной инфраструктуры в целях подготовки хозяйственного комплекса Колпашевского городского поселения к безаварийному прохождению отопительного сезона"</t>
  </si>
  <si>
    <t>Постановление Администрации Колпашевского района от 10.04.2024 № 324 "О порядке и сроке расходования средств субсидии на приобретение оборудования для малобюджетных спортивных площадок по месту жительства и учёбы в муниципальных образованиях Томской области, за исключением муниципального образования «Город Томск», муниципального образования «Городской округ закрытое административнотерриториальное образование Северск Томской области»</t>
  </si>
  <si>
    <t>10.04.2024- 29.12.2024</t>
  </si>
  <si>
    <t>Реестр расходных обязательств муниципального образования "Колпашевский район" на 2024 год и плановый период 2025 - 2026 годы</t>
  </si>
  <si>
    <t>1.2.26. опубликование муниципальных правовых актов, обсуждение проектов муниципальных правовых актов по вопросам местного значения, 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</si>
  <si>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1.2.26.1. расходы в рамках программной деятельности</t>
  </si>
  <si>
    <t>1.2.26.1.1. Совершенствование информационной системы управления</t>
  </si>
  <si>
    <t>1.2.26.1.1.1. Обеспечение открытости и доступности информации о деятельности органов местного самоуправления муниципального образования «Колпашевский район» и органов Администрации Колпашевского района</t>
  </si>
  <si>
    <t>1.2.27. выплаты гражданам денежных вознаграждений в связи с присвоением почетных званий, получением наград, поощрений</t>
  </si>
  <si>
    <t>1.2.27.1. непрограммное направление расходов</t>
  </si>
  <si>
    <t>1.2.28. формирование и использование резервных фондов администраций муниципальных образований для финансирования непредвиденных расходов
(непрограммное направление расходов)</t>
  </si>
  <si>
    <t>(499 617)</t>
  </si>
  <si>
    <t>1828 (311 563) (311 582) (311 552)</t>
  </si>
  <si>
    <t>(564) (565) (628) (540)</t>
  </si>
  <si>
    <t>1899.49.8</t>
  </si>
  <si>
    <t>1.4.2.99.49.8. Участие в обеспечении социальной защиты инвалидов, обеспечении образования инвалидов, обеспечении доступа инвалидов к информации, организации социально-бытового обслуживания инвалидов</t>
  </si>
  <si>
    <t>1.4.2.98. на осуществление полномочий по предметам ведения Российской Федерации, а также совместного ведения по решению вопросов, не указанных в части 1 статьи 44 Федеральный закон от 21.12.2021 N 414-ФЗ "Об общих принципах организации публичной власти в субъектах Российской Федерации" (прочие, не указанные в иных кодах строк)</t>
  </si>
  <si>
    <t xml:space="preserve">1.1.1.46.  организация и осуществление мероприятий межпоселенческого характера по работе с детьми и молодежью, участие в реализации молодежной политики, разработка и реализация мер по обеспечению и защите прав и законных интересов молодежи, разработка и реализация муниципальных программ по основным направлениям реализации молодежной политики, организация и осуществление мониторинга реализации молодежной политики;
(п. 27 в ред. Федерального закона от 02.11.2023 N 517-ФЗ)
</t>
  </si>
  <si>
    <t>1.4.2.2.3. Организация архивного дела в субъекте Российской Федерации</t>
  </si>
  <si>
    <t>1.4.2.5. на поддержку сельскохозяйственного производства, разработку и реализацию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животноводства без учета рыбоводства и рыболовства)</t>
  </si>
  <si>
    <t>1.4.2.54. на организацию проведения на территории субъекта Российской Федерации мероприятий по предупреждению и ликвидации болезней животных, их лечению, защите населения от болезней, общих для человека и животных, за исключением вопросов, решение которых отнесено к ведению Российской Федерации</t>
  </si>
  <si>
    <t>1.3.3.3.1.3. Укрепление общественного здоровья населения Колпашевского района</t>
  </si>
</sst>
</file>

<file path=xl/styles.xml><?xml version="1.0" encoding="utf-8"?>
<styleSheet xmlns="http://schemas.openxmlformats.org/spreadsheetml/2006/main">
  <numFmts count="4">
    <numFmt numFmtId="164" formatCode="[$-10419]#,##0.0;\-#,##0.0"/>
    <numFmt numFmtId="165" formatCode="#,##0.0_ ;\-#,##0.0\ "/>
    <numFmt numFmtId="166" formatCode="#,##0.0"/>
    <numFmt numFmtId="167" formatCode="#,##0.000"/>
  </numFmts>
  <fonts count="21">
    <font>
      <sz val="10"/>
      <name val="Arial"/>
    </font>
    <font>
      <sz val="10"/>
      <name val="Arial"/>
      <family val="2"/>
      <charset val="204"/>
    </font>
    <font>
      <sz val="14"/>
      <name val="Times New Roman"/>
      <family val="1"/>
      <charset val="204"/>
    </font>
    <font>
      <sz val="9"/>
      <name val="Times New Roman CYR"/>
      <family val="1"/>
      <charset val="204"/>
    </font>
    <font>
      <sz val="9"/>
      <name val="Times New Roman"/>
      <family val="1"/>
      <charset val="204"/>
    </font>
    <font>
      <sz val="10"/>
      <name val="Arial"/>
      <family val="2"/>
      <charset val="204"/>
    </font>
    <font>
      <sz val="9"/>
      <name val="Times New Roman CYR"/>
      <charset val="204"/>
    </font>
    <font>
      <b/>
      <sz val="9"/>
      <name val="Times New Roman"/>
      <family val="1"/>
      <charset val="204"/>
    </font>
    <font>
      <b/>
      <i/>
      <sz val="9"/>
      <name val="Times New Roman"/>
      <family val="1"/>
      <charset val="204"/>
    </font>
    <font>
      <b/>
      <sz val="9"/>
      <name val="Times New Roman CYR"/>
      <family val="1"/>
      <charset val="204"/>
    </font>
    <font>
      <b/>
      <sz val="9"/>
      <name val="Times New Roman CYR"/>
      <charset val="204"/>
    </font>
    <font>
      <sz val="10"/>
      <name val="Times New Roman"/>
      <family val="1"/>
      <charset val="204"/>
    </font>
    <font>
      <b/>
      <sz val="14"/>
      <name val="Times New Roman"/>
      <family val="1"/>
      <charset val="204"/>
    </font>
    <font>
      <i/>
      <sz val="9"/>
      <name val="Times New Roman"/>
      <family val="1"/>
      <charset val="204"/>
    </font>
    <font>
      <b/>
      <sz val="9"/>
      <color rgb="FF000000"/>
      <name val="Times New Roman"/>
      <family val="1"/>
      <charset val="204"/>
    </font>
    <font>
      <i/>
      <sz val="9"/>
      <name val="Times New Roman CYR"/>
      <charset val="204"/>
    </font>
    <font>
      <i/>
      <sz val="10"/>
      <name val="Times New Roman"/>
      <family val="1"/>
      <charset val="204"/>
    </font>
    <font>
      <i/>
      <sz val="9"/>
      <name val="Times New Roman CYR"/>
      <family val="1"/>
      <charset val="204"/>
    </font>
    <font>
      <sz val="8"/>
      <name val="Arial"/>
      <family val="2"/>
      <charset val="204"/>
    </font>
    <font>
      <sz val="6"/>
      <name val="Arial"/>
      <family val="2"/>
      <charset val="204"/>
    </font>
    <font>
      <sz val="8"/>
      <name val="Times New Roman"/>
      <family val="1"/>
      <charset val="204"/>
    </font>
  </fonts>
  <fills count="2">
    <fill>
      <patternFill patternType="none"/>
    </fill>
    <fill>
      <patternFill patternType="gray125"/>
    </fill>
  </fills>
  <borders count="227">
    <border>
      <left/>
      <right/>
      <top/>
      <bottom/>
      <diagonal/>
    </border>
    <border>
      <left style="thin">
        <color indexed="64"/>
      </left>
      <right style="thin">
        <color indexed="64"/>
      </right>
      <top/>
      <bottom/>
      <diagonal/>
    </border>
    <border>
      <left style="thin">
        <color indexed="8"/>
      </left>
      <right style="thin">
        <color indexed="8"/>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style="thin">
        <color indexed="8"/>
      </right>
      <top/>
      <bottom style="thin">
        <color indexed="8"/>
      </bottom>
      <diagonal/>
    </border>
    <border>
      <left style="thin">
        <color indexed="64"/>
      </left>
      <right style="thin">
        <color indexed="8"/>
      </right>
      <top/>
      <bottom/>
      <diagonal/>
    </border>
    <border>
      <left style="thin">
        <color indexed="64"/>
      </left>
      <right/>
      <top/>
      <bottom/>
      <diagonal/>
    </border>
    <border>
      <left style="thin">
        <color indexed="8"/>
      </left>
      <right style="thin">
        <color indexed="64"/>
      </right>
      <top/>
      <bottom/>
      <diagonal/>
    </border>
    <border>
      <left style="thin">
        <color indexed="8"/>
      </left>
      <right style="thin">
        <color indexed="8"/>
      </right>
      <top style="thin">
        <color indexed="8"/>
      </top>
      <bottom/>
      <diagonal/>
    </border>
    <border>
      <left style="thin">
        <color indexed="8"/>
      </left>
      <right style="thin">
        <color indexed="64"/>
      </right>
      <top style="thin">
        <color indexed="8"/>
      </top>
      <bottom/>
      <diagonal/>
    </border>
    <border>
      <left/>
      <right/>
      <top style="thin">
        <color indexed="8"/>
      </top>
      <bottom/>
      <diagonal/>
    </border>
    <border>
      <left style="thin">
        <color indexed="64"/>
      </left>
      <right style="thin">
        <color indexed="64"/>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64"/>
      </left>
      <right style="thin">
        <color indexed="64"/>
      </right>
      <top/>
      <bottom style="thin">
        <color indexed="8"/>
      </bottom>
      <diagonal/>
    </border>
    <border>
      <left style="thin">
        <color indexed="64"/>
      </left>
      <right style="thin">
        <color indexed="8"/>
      </right>
      <top/>
      <bottom style="thin">
        <color indexed="8"/>
      </bottom>
      <diagonal/>
    </border>
    <border>
      <left style="thin">
        <color indexed="8"/>
      </left>
      <right/>
      <top style="thin">
        <color indexed="8"/>
      </top>
      <bottom/>
      <diagonal/>
    </border>
    <border>
      <left style="thin">
        <color indexed="64"/>
      </left>
      <right style="thin">
        <color indexed="8"/>
      </right>
      <top style="thin">
        <color indexed="8"/>
      </top>
      <bottom/>
      <diagonal/>
    </border>
    <border>
      <left style="thin">
        <color indexed="8"/>
      </left>
      <right/>
      <top style="thin">
        <color indexed="8"/>
      </top>
      <bottom style="thin">
        <color indexed="8"/>
      </bottom>
      <diagonal/>
    </border>
    <border>
      <left style="thin">
        <color indexed="8"/>
      </left>
      <right style="thin">
        <color indexed="8"/>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8"/>
      </top>
      <bottom/>
      <diagonal/>
    </border>
    <border>
      <left style="thin">
        <color indexed="64"/>
      </left>
      <right/>
      <top style="thin">
        <color indexed="64"/>
      </top>
      <bottom style="thin">
        <color indexed="64"/>
      </bottom>
      <diagonal/>
    </border>
    <border>
      <left style="thin">
        <color indexed="8"/>
      </left>
      <right/>
      <top/>
      <bottom style="thin">
        <color indexed="8"/>
      </bottom>
      <diagonal/>
    </border>
    <border>
      <left style="thin">
        <color indexed="64"/>
      </left>
      <right/>
      <top style="thin">
        <color indexed="64"/>
      </top>
      <bottom/>
      <diagonal/>
    </border>
    <border>
      <left style="thin">
        <color indexed="64"/>
      </left>
      <right style="thin">
        <color indexed="64"/>
      </right>
      <top style="thin">
        <color indexed="8"/>
      </top>
      <bottom style="thin">
        <color indexed="8"/>
      </bottom>
      <diagonal/>
    </border>
    <border>
      <left style="thin">
        <color indexed="8"/>
      </left>
      <right style="thin">
        <color indexed="64"/>
      </right>
      <top/>
      <bottom style="thin">
        <color indexed="8"/>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64"/>
      </top>
      <bottom/>
      <diagonal/>
    </border>
    <border>
      <left style="thin">
        <color indexed="8"/>
      </left>
      <right style="thin">
        <color indexed="64"/>
      </right>
      <top style="thin">
        <color indexed="8"/>
      </top>
      <bottom style="thin">
        <color indexed="8"/>
      </bottom>
      <diagonal/>
    </border>
    <border>
      <left/>
      <right style="thin">
        <color indexed="64"/>
      </right>
      <top/>
      <bottom/>
      <diagonal/>
    </border>
    <border>
      <left style="thin">
        <color indexed="64"/>
      </left>
      <right style="thin">
        <color indexed="8"/>
      </right>
      <top style="thin">
        <color indexed="64"/>
      </top>
      <bottom/>
      <diagonal/>
    </border>
    <border>
      <left style="thin">
        <color indexed="64"/>
      </left>
      <right style="thin">
        <color indexed="64"/>
      </right>
      <top style="thin">
        <color indexed="64"/>
      </top>
      <bottom style="thin">
        <color indexed="8"/>
      </bottom>
      <diagonal/>
    </border>
    <border>
      <left/>
      <right style="thin">
        <color indexed="8"/>
      </right>
      <top style="thin">
        <color indexed="8"/>
      </top>
      <bottom style="thin">
        <color indexed="8"/>
      </bottom>
      <diagonal/>
    </border>
    <border>
      <left style="thin">
        <color indexed="64"/>
      </left>
      <right style="thin">
        <color indexed="8"/>
      </right>
      <top/>
      <bottom style="thin">
        <color indexed="64"/>
      </bottom>
      <diagonal/>
    </border>
    <border>
      <left style="thin">
        <color indexed="8"/>
      </left>
      <right style="thin">
        <color indexed="64"/>
      </right>
      <top style="thin">
        <color indexed="64"/>
      </top>
      <bottom style="thin">
        <color indexed="8"/>
      </bottom>
      <diagonal/>
    </border>
    <border>
      <left style="thin">
        <color indexed="64"/>
      </left>
      <right style="thin">
        <color indexed="8"/>
      </right>
      <top style="thin">
        <color indexed="8"/>
      </top>
      <bottom style="thin">
        <color indexed="8"/>
      </bottom>
      <diagonal/>
    </border>
    <border>
      <left/>
      <right/>
      <top/>
      <bottom style="thin">
        <color indexed="8"/>
      </bottom>
      <diagonal/>
    </border>
    <border>
      <left/>
      <right/>
      <top style="thin">
        <color indexed="8"/>
      </top>
      <bottom style="thin">
        <color indexed="8"/>
      </bottom>
      <diagonal/>
    </border>
    <border>
      <left style="thin">
        <color indexed="64"/>
      </left>
      <right/>
      <top/>
      <bottom style="thin">
        <color indexed="64"/>
      </bottom>
      <diagonal/>
    </border>
    <border>
      <left/>
      <right style="thin">
        <color indexed="64"/>
      </right>
      <top/>
      <bottom style="thin">
        <color indexed="8"/>
      </bottom>
      <diagonal/>
    </border>
    <border>
      <left style="thin">
        <color indexed="8"/>
      </left>
      <right/>
      <top/>
      <bottom style="thin">
        <color indexed="64"/>
      </bottom>
      <diagonal/>
    </border>
    <border>
      <left style="thin">
        <color indexed="64"/>
      </left>
      <right style="thin">
        <color indexed="64"/>
      </right>
      <top/>
      <bottom style="thin">
        <color indexed="8"/>
      </bottom>
      <diagonal/>
    </border>
    <border>
      <left style="thin">
        <color auto="1"/>
      </left>
      <right style="thin">
        <color auto="1"/>
      </right>
      <top/>
      <bottom style="thin">
        <color auto="1"/>
      </bottom>
      <diagonal/>
    </border>
    <border>
      <left style="thin">
        <color indexed="8"/>
      </left>
      <right style="thin">
        <color indexed="64"/>
      </right>
      <top/>
      <bottom style="thin">
        <color indexed="8"/>
      </bottom>
      <diagonal/>
    </border>
    <border>
      <left style="thin">
        <color indexed="64"/>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8"/>
      </left>
      <right style="thin">
        <color indexed="8"/>
      </right>
      <top style="thin">
        <color indexed="64"/>
      </top>
      <bottom style="thin">
        <color indexed="64"/>
      </bottom>
      <diagonal/>
    </border>
    <border>
      <left style="thin">
        <color indexed="8"/>
      </left>
      <right style="thin">
        <color indexed="8"/>
      </right>
      <top/>
      <bottom style="thin">
        <color indexed="8"/>
      </bottom>
      <diagonal/>
    </border>
    <border>
      <left style="thin">
        <color auto="1"/>
      </left>
      <right style="thin">
        <color auto="1"/>
      </right>
      <top/>
      <bottom style="thin">
        <color auto="1"/>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64"/>
      </left>
      <right style="thin">
        <color indexed="64"/>
      </right>
      <top/>
      <bottom style="thin">
        <color indexed="8"/>
      </bottom>
      <diagonal/>
    </border>
    <border>
      <left style="thin">
        <color indexed="8"/>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8"/>
      </left>
      <right style="thin">
        <color indexed="8"/>
      </right>
      <top/>
      <bottom/>
      <diagonal/>
    </border>
    <border>
      <left style="thin">
        <color indexed="8"/>
      </left>
      <right style="thin">
        <color indexed="64"/>
      </right>
      <top/>
      <bottom style="thin">
        <color indexed="8"/>
      </bottom>
      <diagonal/>
    </border>
    <border>
      <left style="thin">
        <color indexed="64"/>
      </left>
      <right/>
      <top style="thin">
        <color indexed="64"/>
      </top>
      <bottom/>
      <diagonal/>
    </border>
    <border>
      <left style="thin">
        <color auto="1"/>
      </left>
      <right/>
      <top/>
      <bottom/>
      <diagonal/>
    </border>
    <border>
      <left style="thin">
        <color auto="1"/>
      </left>
      <right style="thin">
        <color auto="1"/>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8"/>
      </top>
      <bottom/>
      <diagonal/>
    </border>
    <border>
      <left style="thin">
        <color auto="1"/>
      </left>
      <right style="thin">
        <color auto="1"/>
      </right>
      <top style="thin">
        <color auto="1"/>
      </top>
      <bottom/>
      <diagonal/>
    </border>
    <border>
      <left/>
      <right style="thin">
        <color indexed="64"/>
      </right>
      <top/>
      <bottom style="thin">
        <color indexed="64"/>
      </bottom>
      <diagonal/>
    </border>
    <border>
      <left style="thin">
        <color auto="1"/>
      </left>
      <right style="thin">
        <color auto="1"/>
      </right>
      <top/>
      <bottom style="thin">
        <color auto="1"/>
      </bottom>
      <diagonal/>
    </border>
    <border>
      <left style="thin">
        <color indexed="8"/>
      </left>
      <right style="thin">
        <color indexed="64"/>
      </right>
      <top/>
      <bottom style="thin">
        <color indexed="64"/>
      </bottom>
      <diagonal/>
    </border>
    <border>
      <left style="thin">
        <color indexed="8"/>
      </left>
      <right style="thin">
        <color indexed="8"/>
      </right>
      <top style="thin">
        <color indexed="64"/>
      </top>
      <bottom/>
      <diagonal/>
    </border>
    <border>
      <left style="thin">
        <color indexed="8"/>
      </left>
      <right style="thin">
        <color indexed="64"/>
      </right>
      <top/>
      <bottom style="thin">
        <color indexed="8"/>
      </bottom>
      <diagonal/>
    </border>
    <border>
      <left style="thin">
        <color indexed="64"/>
      </left>
      <right style="thin">
        <color auto="1"/>
      </right>
      <top style="thin">
        <color indexed="64"/>
      </top>
      <bottom/>
      <diagonal/>
    </border>
    <border>
      <left style="thin">
        <color indexed="8"/>
      </left>
      <right style="thin">
        <color indexed="8"/>
      </right>
      <top style="thin">
        <color indexed="8"/>
      </top>
      <bottom/>
      <diagonal/>
    </border>
    <border>
      <left/>
      <right style="thin">
        <color indexed="8"/>
      </right>
      <top/>
      <bottom style="thin">
        <color indexed="8"/>
      </bottom>
      <diagonal/>
    </border>
    <border>
      <left style="thin">
        <color indexed="8"/>
      </left>
      <right style="thin">
        <color indexed="8"/>
      </right>
      <top style="thin">
        <color indexed="8"/>
      </top>
      <bottom style="thin">
        <color indexed="64"/>
      </bottom>
      <diagonal/>
    </border>
    <border>
      <left style="thin">
        <color indexed="8"/>
      </left>
      <right style="thin">
        <color indexed="64"/>
      </right>
      <top style="thin">
        <color indexed="8"/>
      </top>
      <bottom style="thin">
        <color indexed="64"/>
      </bottom>
      <diagonal/>
    </border>
    <border>
      <left style="thin">
        <color indexed="64"/>
      </left>
      <right style="thin">
        <color indexed="64"/>
      </right>
      <top style="thin">
        <color indexed="8"/>
      </top>
      <bottom style="thin">
        <color indexed="64"/>
      </bottom>
      <diagonal/>
    </border>
    <border>
      <left style="thin">
        <color indexed="64"/>
      </left>
      <right style="thin">
        <color indexed="8"/>
      </right>
      <top style="thin">
        <color indexed="8"/>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64"/>
      </left>
      <right style="thin">
        <color indexed="8"/>
      </right>
      <top style="thin">
        <color indexed="8"/>
      </top>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indexed="64"/>
      </left>
      <right style="thin">
        <color auto="1"/>
      </right>
      <top style="thin">
        <color indexed="64"/>
      </top>
      <bottom/>
      <diagonal/>
    </border>
    <border>
      <left/>
      <right/>
      <top style="thin">
        <color indexed="64"/>
      </top>
      <bottom style="thin">
        <color indexed="64"/>
      </bottom>
      <diagonal/>
    </border>
    <border>
      <left style="thin">
        <color indexed="8"/>
      </left>
      <right style="thin">
        <color indexed="8"/>
      </right>
      <top style="thin">
        <color indexed="64"/>
      </top>
      <bottom/>
      <diagonal/>
    </border>
    <border>
      <left style="thin">
        <color indexed="8"/>
      </left>
      <right style="thin">
        <color auto="1"/>
      </right>
      <top/>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8"/>
      </right>
      <top style="thin">
        <color indexed="8"/>
      </top>
      <bottom/>
      <diagonal/>
    </border>
    <border>
      <left style="thin">
        <color indexed="8"/>
      </left>
      <right style="thin">
        <color indexed="8"/>
      </right>
      <top style="thin">
        <color auto="1"/>
      </top>
      <bottom style="thin">
        <color indexed="8"/>
      </bottom>
      <diagonal/>
    </border>
    <border>
      <left style="thin">
        <color indexed="64"/>
      </left>
      <right style="thin">
        <color indexed="64"/>
      </right>
      <top/>
      <bottom style="thin">
        <color indexed="8"/>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auto="1"/>
      </right>
      <top/>
      <bottom style="thin">
        <color auto="1"/>
      </bottom>
      <diagonal/>
    </border>
    <border>
      <left style="thin">
        <color indexed="64"/>
      </left>
      <right style="thin">
        <color auto="1"/>
      </right>
      <top/>
      <bottom style="thin">
        <color auto="1"/>
      </bottom>
      <diagonal/>
    </border>
    <border>
      <left style="thin">
        <color indexed="8"/>
      </left>
      <right style="thin">
        <color indexed="8"/>
      </right>
      <top style="thin">
        <color indexed="8"/>
      </top>
      <bottom style="thin">
        <color indexed="64"/>
      </bottom>
      <diagonal/>
    </border>
    <border>
      <left style="thin">
        <color indexed="64"/>
      </left>
      <right style="thin">
        <color indexed="8"/>
      </right>
      <top style="thin">
        <color auto="1"/>
      </top>
      <bottom style="thin">
        <color indexed="64"/>
      </bottom>
      <diagonal/>
    </border>
    <border>
      <left style="thin">
        <color indexed="8"/>
      </left>
      <right style="thin">
        <color indexed="8"/>
      </right>
      <top style="thin">
        <color auto="1"/>
      </top>
      <bottom style="thin">
        <color indexed="64"/>
      </bottom>
      <diagonal/>
    </border>
    <border>
      <left style="thin">
        <color indexed="8"/>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indexed="64"/>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auto="1"/>
      </left>
      <right/>
      <top style="thin">
        <color indexed="8"/>
      </top>
      <bottom/>
      <diagonal/>
    </border>
    <border>
      <left style="thin">
        <color indexed="64"/>
      </left>
      <right style="thin">
        <color indexed="64"/>
      </right>
      <top style="thin">
        <color indexed="64"/>
      </top>
      <bottom/>
      <diagonal/>
    </border>
    <border>
      <left style="thin">
        <color indexed="8"/>
      </left>
      <right style="thin">
        <color auto="1"/>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64"/>
      </top>
      <bottom/>
      <diagonal/>
    </border>
    <border>
      <left style="thin">
        <color indexed="8"/>
      </left>
      <right style="thin">
        <color indexed="64"/>
      </right>
      <top style="thin">
        <color indexed="64"/>
      </top>
      <bottom/>
      <diagonal/>
    </border>
    <border>
      <left style="thin">
        <color indexed="8"/>
      </left>
      <right style="thin">
        <color indexed="64"/>
      </right>
      <top/>
      <bottom style="thin">
        <color indexed="8"/>
      </bottom>
      <diagonal/>
    </border>
    <border>
      <left style="thin">
        <color indexed="8"/>
      </left>
      <right style="thin">
        <color indexed="8"/>
      </right>
      <top style="thin">
        <color indexed="8"/>
      </top>
      <bottom/>
      <diagonal/>
    </border>
    <border>
      <left style="thin">
        <color auto="1"/>
      </left>
      <right style="thin">
        <color auto="1"/>
      </right>
      <top/>
      <bottom style="thin">
        <color auto="1"/>
      </bottom>
      <diagonal/>
    </border>
    <border>
      <left style="thin">
        <color indexed="8"/>
      </left>
      <right style="thin">
        <color indexed="8"/>
      </right>
      <top style="thin">
        <color indexed="64"/>
      </top>
      <bottom/>
      <diagonal/>
    </border>
    <border>
      <left style="thin">
        <color indexed="8"/>
      </left>
      <right style="thin">
        <color indexed="64"/>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8"/>
      </left>
      <right style="thin">
        <color indexed="8"/>
      </right>
      <top style="thin">
        <color indexed="8"/>
      </top>
      <bottom style="thin">
        <color indexed="8"/>
      </bottom>
      <diagonal/>
    </border>
    <border>
      <left style="thin">
        <color indexed="8"/>
      </left>
      <right style="thin">
        <color indexed="64"/>
      </right>
      <top style="thin">
        <color indexed="8"/>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8"/>
      </top>
      <bottom/>
      <diagonal/>
    </border>
    <border>
      <left style="thin">
        <color indexed="8"/>
      </left>
      <right/>
      <top style="thin">
        <color indexed="8"/>
      </top>
      <bottom/>
      <diagonal/>
    </border>
    <border>
      <left style="thin">
        <color auto="1"/>
      </left>
      <right style="thin">
        <color auto="1"/>
      </right>
      <top style="thin">
        <color auto="1"/>
      </top>
      <bottom style="thin">
        <color auto="1"/>
      </bottom>
      <diagonal/>
    </border>
    <border>
      <left style="thin">
        <color indexed="8"/>
      </left>
      <right/>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64"/>
      </bottom>
      <diagonal/>
    </border>
    <border>
      <left style="thin">
        <color indexed="8"/>
      </left>
      <right style="thin">
        <color indexed="8"/>
      </right>
      <top/>
      <bottom style="thin">
        <color indexed="64"/>
      </bottom>
      <diagonal/>
    </border>
    <border>
      <left style="thin">
        <color indexed="8"/>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thin">
        <color indexed="8"/>
      </left>
      <right style="thin">
        <color indexed="8"/>
      </right>
      <top style="thin">
        <color indexed="64"/>
      </top>
      <bottom/>
      <diagonal/>
    </border>
    <border>
      <left style="thin">
        <color indexed="64"/>
      </left>
      <right style="thin">
        <color indexed="8"/>
      </right>
      <top/>
      <bottom style="thin">
        <color indexed="64"/>
      </bottom>
      <diagonal/>
    </border>
    <border>
      <left style="thin">
        <color auto="1"/>
      </left>
      <right style="thin">
        <color indexed="8"/>
      </right>
      <top/>
      <bottom/>
      <diagonal/>
    </border>
    <border>
      <left/>
      <right style="thin">
        <color auto="1"/>
      </right>
      <top/>
      <bottom/>
      <diagonal/>
    </border>
    <border>
      <left style="thin">
        <color indexed="8"/>
      </left>
      <right style="thin">
        <color auto="1"/>
      </right>
      <top style="thin">
        <color indexed="8"/>
      </top>
      <bottom/>
      <diagonal/>
    </border>
    <border>
      <left style="thin">
        <color indexed="8"/>
      </left>
      <right style="thin">
        <color indexed="8"/>
      </right>
      <top style="thin">
        <color indexed="8"/>
      </top>
      <bottom/>
      <diagonal/>
    </border>
    <border>
      <left style="thin">
        <color indexed="8"/>
      </left>
      <right style="thin">
        <color indexed="64"/>
      </right>
      <top style="thin">
        <color indexed="8"/>
      </top>
      <bottom/>
      <diagonal/>
    </border>
    <border>
      <left style="thin">
        <color indexed="64"/>
      </left>
      <right style="thin">
        <color indexed="64"/>
      </right>
      <top style="thin">
        <color indexed="8"/>
      </top>
      <bottom/>
      <diagonal/>
    </border>
    <border>
      <left style="thin">
        <color indexed="64"/>
      </left>
      <right style="thin">
        <color indexed="8"/>
      </right>
      <top style="thin">
        <color indexed="8"/>
      </top>
      <bottom/>
      <diagonal/>
    </border>
    <border>
      <left style="thin">
        <color indexed="64"/>
      </left>
      <right style="thin">
        <color auto="1"/>
      </right>
      <top/>
      <bottom/>
      <diagonal/>
    </border>
    <border>
      <left style="thin">
        <color indexed="64"/>
      </left>
      <right style="thin">
        <color auto="1"/>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style="thin">
        <color auto="1"/>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auto="1"/>
      </left>
      <right/>
      <top style="thin">
        <color auto="1"/>
      </top>
      <bottom style="thin">
        <color indexed="64"/>
      </bottom>
      <diagonal/>
    </border>
    <border>
      <left style="thin">
        <color indexed="64"/>
      </left>
      <right style="thin">
        <color indexed="64"/>
      </right>
      <top style="thin">
        <color indexed="64"/>
      </top>
      <bottom/>
      <diagonal/>
    </border>
    <border>
      <left style="thin">
        <color indexed="64"/>
      </left>
      <right style="thin">
        <color indexed="8"/>
      </right>
      <top style="thin">
        <color indexed="64"/>
      </top>
      <bottom/>
      <diagonal/>
    </border>
    <border>
      <left style="thin">
        <color indexed="8"/>
      </left>
      <right style="thin">
        <color indexed="64"/>
      </right>
      <top style="thin">
        <color auto="1"/>
      </top>
      <bottom/>
      <diagonal/>
    </border>
    <border>
      <left style="thin">
        <color indexed="8"/>
      </left>
      <right style="thin">
        <color indexed="8"/>
      </right>
      <top/>
      <bottom/>
      <diagonal/>
    </border>
    <border>
      <left/>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64"/>
      </left>
      <right style="thin">
        <color indexed="64"/>
      </right>
      <top style="thin">
        <color indexed="8"/>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indexed="8"/>
      </left>
      <right style="thin">
        <color auto="1"/>
      </right>
      <top style="thin">
        <color indexed="8"/>
      </top>
      <bottom style="thin">
        <color indexed="8"/>
      </bottom>
      <diagonal/>
    </border>
    <border>
      <left style="thin">
        <color indexed="8"/>
      </left>
      <right style="thin">
        <color auto="1"/>
      </right>
      <top/>
      <bottom style="thin">
        <color indexed="8"/>
      </bottom>
      <diagonal/>
    </border>
    <border>
      <left style="thin">
        <color indexed="8"/>
      </left>
      <right style="thin">
        <color indexed="8"/>
      </right>
      <top style="thin">
        <color auto="1"/>
      </top>
      <bottom/>
      <diagonal/>
    </border>
    <border>
      <left style="thin">
        <color auto="1"/>
      </left>
      <right style="thin">
        <color auto="1"/>
      </right>
      <top style="thin">
        <color auto="1"/>
      </top>
      <bottom style="thin">
        <color auto="1"/>
      </bottom>
      <diagonal/>
    </border>
    <border>
      <left style="thin">
        <color auto="1"/>
      </left>
      <right style="thin">
        <color indexed="8"/>
      </right>
      <top style="thin">
        <color auto="1"/>
      </top>
      <bottom style="thin">
        <color auto="1"/>
      </bottom>
      <diagonal/>
    </border>
    <border>
      <left style="thin">
        <color indexed="8"/>
      </left>
      <right style="thin">
        <color indexed="8"/>
      </right>
      <top style="thin">
        <color indexed="64"/>
      </top>
      <bottom style="thin">
        <color indexed="8"/>
      </bottom>
      <diagonal/>
    </border>
    <border>
      <left style="thin">
        <color indexed="64"/>
      </left>
      <right style="thin">
        <color indexed="64"/>
      </right>
      <top/>
      <bottom style="thin">
        <color indexed="64"/>
      </bottom>
      <diagonal/>
    </border>
    <border>
      <left style="thin">
        <color indexed="8"/>
      </left>
      <right style="thin">
        <color indexed="8"/>
      </right>
      <top/>
      <bottom style="thin">
        <color indexed="8"/>
      </bottom>
      <diagonal/>
    </border>
    <border>
      <left/>
      <right style="thin">
        <color indexed="64"/>
      </right>
      <top style="thin">
        <color indexed="64"/>
      </top>
      <bottom style="thin">
        <color indexed="64"/>
      </bottom>
      <diagonal/>
    </border>
    <border>
      <left style="thin">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diagonal/>
    </border>
    <border>
      <left style="thin">
        <color indexed="64"/>
      </left>
      <right style="thin">
        <color indexed="8"/>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thin">
        <color indexed="64"/>
      </right>
      <top style="thin">
        <color auto="1"/>
      </top>
      <bottom/>
      <diagonal/>
    </border>
    <border>
      <left style="thin">
        <color indexed="8"/>
      </left>
      <right style="thin">
        <color indexed="8"/>
      </right>
      <top/>
      <bottom style="thin">
        <color indexed="64"/>
      </bottom>
      <diagonal/>
    </border>
    <border>
      <left/>
      <right style="thin">
        <color auto="1"/>
      </right>
      <top/>
      <bottom/>
      <diagonal/>
    </border>
    <border>
      <left style="thin">
        <color indexed="64"/>
      </left>
      <right/>
      <top/>
      <bottom/>
      <diagonal/>
    </border>
    <border>
      <left style="thin">
        <color auto="1"/>
      </left>
      <right style="thin">
        <color auto="1"/>
      </right>
      <top/>
      <bottom/>
      <diagonal/>
    </border>
    <border>
      <left style="thin">
        <color indexed="8"/>
      </left>
      <right style="thin">
        <color indexed="8"/>
      </right>
      <top/>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bottom style="thin">
        <color indexed="8"/>
      </bottom>
      <diagonal/>
    </border>
    <border>
      <left style="thin">
        <color indexed="8"/>
      </left>
      <right style="thin">
        <color indexed="8"/>
      </right>
      <top/>
      <bottom style="thin">
        <color indexed="8"/>
      </bottom>
      <diagonal/>
    </border>
    <border>
      <left style="thin">
        <color indexed="8"/>
      </left>
      <right style="thin">
        <color indexed="64"/>
      </right>
      <top style="thin">
        <color indexed="8"/>
      </top>
      <bottom/>
      <diagonal/>
    </border>
    <border>
      <left style="thin">
        <color indexed="8"/>
      </left>
      <right style="thin">
        <color indexed="64"/>
      </right>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bottom/>
      <diagonal/>
    </border>
    <border>
      <left/>
      <right style="thin">
        <color indexed="64"/>
      </right>
      <top/>
      <bottom style="thin">
        <color indexed="64"/>
      </bottom>
      <diagonal/>
    </border>
    <border>
      <left style="thin">
        <color auto="1"/>
      </left>
      <right style="thin">
        <color auto="1"/>
      </right>
      <top/>
      <bottom style="thin">
        <color auto="1"/>
      </bottom>
      <diagonal/>
    </border>
    <border>
      <left style="thin">
        <color indexed="64"/>
      </left>
      <right style="thin">
        <color indexed="64"/>
      </right>
      <top style="thin">
        <color indexed="64"/>
      </top>
      <bottom/>
      <diagonal/>
    </border>
    <border>
      <left style="thin">
        <color indexed="8"/>
      </left>
      <right style="thin">
        <color auto="1"/>
      </right>
      <top style="thin">
        <color indexed="8"/>
      </top>
      <bottom/>
      <diagonal/>
    </border>
    <border>
      <left style="thin">
        <color indexed="8"/>
      </left>
      <right style="thin">
        <color indexed="8"/>
      </right>
      <top/>
      <bottom style="thin">
        <color indexed="8"/>
      </bottom>
      <diagonal/>
    </border>
    <border>
      <left style="thin">
        <color indexed="8"/>
      </left>
      <right style="thin">
        <color auto="1"/>
      </right>
      <top/>
      <bottom style="thin">
        <color indexed="8"/>
      </bottom>
      <diagonal/>
    </border>
    <border>
      <left style="thin">
        <color indexed="64"/>
      </left>
      <right style="thin">
        <color indexed="64"/>
      </right>
      <top/>
      <bottom style="thin">
        <color indexed="8"/>
      </bottom>
      <diagonal/>
    </border>
    <border>
      <left style="thin">
        <color indexed="8"/>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right style="thin">
        <color auto="1"/>
      </right>
      <top/>
      <bottom/>
      <diagonal/>
    </border>
    <border>
      <left style="thin">
        <color indexed="64"/>
      </left>
      <right/>
      <top/>
      <bottom style="thin">
        <color indexed="64"/>
      </bottom>
      <diagonal/>
    </border>
    <border>
      <left style="thin">
        <color indexed="8"/>
      </left>
      <right style="thin">
        <color auto="1"/>
      </right>
      <top/>
      <bottom/>
      <diagonal/>
    </border>
    <border>
      <left style="thin">
        <color indexed="8"/>
      </left>
      <right style="thin">
        <color indexed="8"/>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thin">
        <color indexed="64"/>
      </right>
      <top/>
      <bottom/>
      <diagonal/>
    </border>
  </borders>
  <cellStyleXfs count="3">
    <xf numFmtId="0" fontId="0" fillId="0" borderId="0"/>
    <xf numFmtId="0" fontId="5" fillId="0" borderId="0"/>
    <xf numFmtId="0" fontId="1" fillId="0" borderId="0"/>
  </cellStyleXfs>
  <cellXfs count="1405">
    <xf numFmtId="0" fontId="0" fillId="0" borderId="0" xfId="0"/>
    <xf numFmtId="0" fontId="9" fillId="0" borderId="3" xfId="0" applyNumberFormat="1" applyFont="1" applyFill="1" applyBorder="1" applyAlignment="1" applyProtection="1">
      <alignment horizontal="center" vertical="center" wrapText="1" shrinkToFit="1"/>
      <protection locked="0"/>
    </xf>
    <xf numFmtId="0" fontId="4" fillId="0" borderId="5" xfId="0" applyNumberFormat="1" applyFont="1" applyFill="1" applyBorder="1" applyAlignment="1" applyProtection="1">
      <alignment horizontal="center" vertical="center" wrapText="1" shrinkToFit="1"/>
      <protection locked="0"/>
    </xf>
    <xf numFmtId="0" fontId="7" fillId="0" borderId="5" xfId="0" applyNumberFormat="1" applyFont="1" applyFill="1" applyBorder="1" applyAlignment="1" applyProtection="1">
      <alignment horizontal="center" vertical="center" wrapText="1" shrinkToFit="1"/>
      <protection locked="0"/>
    </xf>
    <xf numFmtId="0" fontId="9" fillId="0" borderId="5" xfId="0" applyNumberFormat="1" applyFont="1" applyFill="1" applyBorder="1" applyAlignment="1" applyProtection="1">
      <alignment horizontal="center" vertical="center" wrapText="1" shrinkToFit="1"/>
      <protection locked="0"/>
    </xf>
    <xf numFmtId="0" fontId="9" fillId="0" borderId="10" xfId="0" applyNumberFormat="1" applyFont="1" applyFill="1" applyBorder="1" applyAlignment="1" applyProtection="1">
      <alignment vertical="center" wrapText="1" shrinkToFit="1"/>
      <protection locked="0"/>
    </xf>
    <xf numFmtId="0" fontId="9" fillId="0" borderId="1" xfId="0" applyNumberFormat="1" applyFont="1" applyFill="1" applyBorder="1" applyAlignment="1" applyProtection="1">
      <alignment vertical="center" wrapText="1" shrinkToFit="1"/>
      <protection locked="0"/>
    </xf>
    <xf numFmtId="0" fontId="9" fillId="0" borderId="8" xfId="0" applyNumberFormat="1" applyFont="1" applyFill="1" applyBorder="1" applyAlignment="1" applyProtection="1">
      <alignment vertical="center" wrapText="1" shrinkToFit="1"/>
      <protection locked="0"/>
    </xf>
    <xf numFmtId="164" fontId="4" fillId="0" borderId="11" xfId="0" applyNumberFormat="1" applyFont="1" applyFill="1" applyBorder="1" applyAlignment="1" applyProtection="1">
      <alignment vertical="top" wrapText="1" readingOrder="1"/>
      <protection locked="0"/>
    </xf>
    <xf numFmtId="0" fontId="3" fillId="0" borderId="3" xfId="0" applyNumberFormat="1" applyFont="1" applyFill="1" applyBorder="1" applyAlignment="1" applyProtection="1">
      <alignment horizontal="center" vertical="center" wrapText="1" shrinkToFit="1"/>
      <protection locked="0"/>
    </xf>
    <xf numFmtId="0" fontId="6" fillId="0" borderId="2" xfId="0" applyNumberFormat="1" applyFont="1" applyFill="1" applyBorder="1" applyAlignment="1" applyProtection="1">
      <alignment horizontal="center" vertical="top" wrapText="1" shrinkToFit="1" readingOrder="1"/>
      <protection locked="0"/>
    </xf>
    <xf numFmtId="0" fontId="3" fillId="0" borderId="2" xfId="0" applyNumberFormat="1" applyFont="1" applyFill="1" applyBorder="1" applyAlignment="1" applyProtection="1">
      <alignment horizontal="center" vertical="top" wrapText="1" shrinkToFit="1" readingOrder="1"/>
      <protection locked="0"/>
    </xf>
    <xf numFmtId="14" fontId="3" fillId="0" borderId="2" xfId="0" applyNumberFormat="1" applyFont="1" applyFill="1" applyBorder="1" applyAlignment="1" applyProtection="1">
      <alignment horizontal="center" vertical="top" wrapText="1" shrinkToFit="1" readingOrder="1"/>
      <protection locked="0"/>
    </xf>
    <xf numFmtId="0" fontId="7" fillId="0" borderId="6" xfId="0" applyNumberFormat="1" applyFont="1" applyFill="1" applyBorder="1" applyAlignment="1" applyProtection="1">
      <alignment horizontal="center" vertical="center" wrapText="1" shrinkToFit="1"/>
      <protection locked="0"/>
    </xf>
    <xf numFmtId="14" fontId="7" fillId="0" borderId="6" xfId="0" applyNumberFormat="1" applyFont="1" applyFill="1" applyBorder="1" applyAlignment="1" applyProtection="1">
      <alignment horizontal="center" vertical="center" wrapText="1" shrinkToFit="1"/>
      <protection locked="0"/>
    </xf>
    <xf numFmtId="0" fontId="2" fillId="0" borderId="0" xfId="0" applyFont="1" applyFill="1"/>
    <xf numFmtId="0" fontId="7" fillId="0" borderId="11" xfId="0" applyFont="1" applyFill="1" applyBorder="1" applyAlignment="1" applyProtection="1">
      <alignment vertical="top" wrapText="1" readingOrder="1"/>
      <protection locked="0"/>
    </xf>
    <xf numFmtId="164" fontId="7" fillId="0" borderId="11" xfId="0" applyNumberFormat="1" applyFont="1" applyFill="1" applyBorder="1" applyAlignment="1" applyProtection="1">
      <alignment vertical="top" wrapText="1" readingOrder="1"/>
      <protection locked="0"/>
    </xf>
    <xf numFmtId="0" fontId="7" fillId="0" borderId="3" xfId="0" applyFont="1" applyFill="1" applyBorder="1" applyAlignment="1" applyProtection="1">
      <alignment vertical="top" wrapText="1" readingOrder="1"/>
      <protection locked="0"/>
    </xf>
    <xf numFmtId="0" fontId="7" fillId="0" borderId="3" xfId="0" applyFont="1" applyFill="1" applyBorder="1" applyAlignment="1" applyProtection="1">
      <alignment horizontal="center" vertical="top" wrapText="1" readingOrder="1"/>
      <protection locked="0"/>
    </xf>
    <xf numFmtId="0" fontId="8" fillId="0" borderId="3" xfId="0" applyFont="1" applyFill="1" applyBorder="1" applyAlignment="1" applyProtection="1">
      <alignment vertical="top" wrapText="1" readingOrder="1"/>
      <protection locked="0"/>
    </xf>
    <xf numFmtId="0" fontId="8" fillId="0" borderId="3" xfId="0" applyFont="1" applyFill="1" applyBorder="1" applyAlignment="1" applyProtection="1">
      <alignment horizontal="center" vertical="top" wrapText="1" readingOrder="1"/>
      <protection locked="0"/>
    </xf>
    <xf numFmtId="0" fontId="4" fillId="0" borderId="2" xfId="0" applyFont="1" applyFill="1" applyBorder="1" applyAlignment="1" applyProtection="1">
      <alignment vertical="top" wrapText="1" readingOrder="1"/>
      <protection locked="0"/>
    </xf>
    <xf numFmtId="0" fontId="4" fillId="0" borderId="14" xfId="0" applyFont="1" applyFill="1" applyBorder="1" applyAlignment="1" applyProtection="1">
      <alignment horizontal="center" vertical="top" wrapText="1" readingOrder="1"/>
      <protection locked="0"/>
    </xf>
    <xf numFmtId="164" fontId="4" fillId="0" borderId="1" xfId="0" applyNumberFormat="1" applyFont="1" applyFill="1" applyBorder="1" applyAlignment="1" applyProtection="1">
      <alignment vertical="top" wrapText="1" readingOrder="1"/>
      <protection locked="0"/>
    </xf>
    <xf numFmtId="0" fontId="4" fillId="0" borderId="7" xfId="0" applyFont="1" applyFill="1" applyBorder="1" applyAlignment="1" applyProtection="1">
      <alignment vertical="top" wrapText="1" readingOrder="1"/>
      <protection locked="0"/>
    </xf>
    <xf numFmtId="0" fontId="4" fillId="0" borderId="15" xfId="0" applyFont="1" applyFill="1" applyBorder="1" applyAlignment="1" applyProtection="1">
      <alignment horizontal="center" vertical="top" wrapText="1" readingOrder="1"/>
      <protection locked="0"/>
    </xf>
    <xf numFmtId="0" fontId="7" fillId="0" borderId="16" xfId="0" applyFont="1" applyFill="1" applyBorder="1" applyAlignment="1" applyProtection="1">
      <alignment vertical="top" wrapText="1" readingOrder="1"/>
      <protection locked="0"/>
    </xf>
    <xf numFmtId="0" fontId="7" fillId="0" borderId="5" xfId="0" applyFont="1" applyFill="1" applyBorder="1" applyAlignment="1" applyProtection="1">
      <alignment horizontal="center" vertical="center" wrapText="1"/>
      <protection locked="0"/>
    </xf>
    <xf numFmtId="0" fontId="4" fillId="0" borderId="11" xfId="0" applyFont="1" applyFill="1" applyBorder="1" applyAlignment="1" applyProtection="1">
      <alignment vertical="top" wrapText="1" readingOrder="1"/>
      <protection locked="0"/>
    </xf>
    <xf numFmtId="0" fontId="4" fillId="0" borderId="1" xfId="0" applyFont="1" applyFill="1" applyBorder="1" applyAlignment="1" applyProtection="1">
      <alignment vertical="top" wrapText="1" readingOrder="1"/>
      <protection locked="0"/>
    </xf>
    <xf numFmtId="0" fontId="7" fillId="0" borderId="2" xfId="0" applyFont="1" applyFill="1" applyBorder="1" applyAlignment="1" applyProtection="1">
      <alignment vertical="top" wrapText="1" readingOrder="1"/>
      <protection locked="0"/>
    </xf>
    <xf numFmtId="164" fontId="7" fillId="0" borderId="2" xfId="0" applyNumberFormat="1" applyFont="1" applyFill="1" applyBorder="1" applyAlignment="1" applyProtection="1">
      <alignment vertical="top" wrapText="1" readingOrder="1"/>
      <protection locked="0"/>
    </xf>
    <xf numFmtId="0" fontId="4" fillId="0" borderId="17" xfId="0" applyFont="1" applyFill="1" applyBorder="1" applyAlignment="1" applyProtection="1">
      <alignment horizontal="center" vertical="top" wrapText="1" readingOrder="1"/>
      <protection locked="0"/>
    </xf>
    <xf numFmtId="0" fontId="7" fillId="0" borderId="17" xfId="0" applyFont="1" applyFill="1" applyBorder="1" applyAlignment="1" applyProtection="1">
      <alignment horizontal="center" vertical="top" wrapText="1" readingOrder="1"/>
      <protection locked="0"/>
    </xf>
    <xf numFmtId="164" fontId="8" fillId="0" borderId="11" xfId="0" applyNumberFormat="1" applyFont="1" applyFill="1" applyBorder="1" applyAlignment="1" applyProtection="1">
      <alignment vertical="top" wrapText="1" readingOrder="1"/>
      <protection locked="0"/>
    </xf>
    <xf numFmtId="164" fontId="4" fillId="0" borderId="14" xfId="0" applyNumberFormat="1" applyFont="1" applyFill="1" applyBorder="1" applyAlignment="1" applyProtection="1">
      <alignment vertical="top" wrapText="1" readingOrder="1"/>
      <protection locked="0"/>
    </xf>
    <xf numFmtId="0" fontId="7" fillId="0" borderId="14" xfId="0" applyFont="1" applyFill="1" applyBorder="1" applyAlignment="1" applyProtection="1">
      <alignment horizontal="center" vertical="top" wrapText="1" readingOrder="1"/>
      <protection locked="0"/>
    </xf>
    <xf numFmtId="0" fontId="7" fillId="0" borderId="5" xfId="0" applyFont="1" applyFill="1" applyBorder="1" applyAlignment="1" applyProtection="1">
      <alignment vertical="top" wrapText="1" readingOrder="1"/>
      <protection locked="0"/>
    </xf>
    <xf numFmtId="164" fontId="4" fillId="0" borderId="4" xfId="0" applyNumberFormat="1" applyFont="1" applyFill="1" applyBorder="1" applyAlignment="1" applyProtection="1">
      <alignment vertical="top" wrapText="1" readingOrder="1"/>
      <protection locked="0"/>
    </xf>
    <xf numFmtId="49" fontId="4" fillId="0" borderId="17" xfId="0" applyNumberFormat="1" applyFont="1" applyFill="1" applyBorder="1" applyAlignment="1" applyProtection="1">
      <alignment horizontal="center" vertical="top" wrapText="1" readingOrder="1"/>
      <protection locked="0"/>
    </xf>
    <xf numFmtId="49" fontId="4" fillId="0" borderId="15" xfId="0" applyNumberFormat="1" applyFont="1" applyFill="1" applyBorder="1" applyAlignment="1" applyProtection="1">
      <alignment horizontal="center" vertical="top" wrapText="1" readingOrder="1"/>
      <protection locked="0"/>
    </xf>
    <xf numFmtId="164" fontId="7" fillId="0" borderId="1" xfId="0" applyNumberFormat="1" applyFont="1" applyFill="1" applyBorder="1" applyAlignment="1" applyProtection="1">
      <alignment vertical="top" wrapText="1" readingOrder="1"/>
      <protection locked="0"/>
    </xf>
    <xf numFmtId="0" fontId="7" fillId="0" borderId="20" xfId="0" applyFont="1" applyFill="1" applyBorder="1" applyAlignment="1" applyProtection="1">
      <alignment vertical="top" wrapText="1" readingOrder="1"/>
      <protection locked="0"/>
    </xf>
    <xf numFmtId="0" fontId="4" fillId="0" borderId="2" xfId="0" applyFont="1" applyFill="1" applyBorder="1" applyAlignment="1" applyProtection="1">
      <alignment vertical="top" wrapText="1"/>
      <protection locked="0"/>
    </xf>
    <xf numFmtId="49" fontId="8" fillId="0" borderId="11" xfId="0" applyNumberFormat="1" applyFont="1" applyFill="1" applyBorder="1" applyAlignment="1" applyProtection="1">
      <alignment horizontal="center" vertical="top" wrapText="1" readingOrder="1"/>
      <protection locked="0"/>
    </xf>
    <xf numFmtId="166" fontId="4" fillId="0" borderId="1" xfId="0" applyNumberFormat="1" applyFont="1" applyFill="1" applyBorder="1" applyAlignment="1" applyProtection="1">
      <alignment vertical="top" wrapText="1" readingOrder="1"/>
      <protection locked="0"/>
    </xf>
    <xf numFmtId="0" fontId="7" fillId="0" borderId="10" xfId="0" applyFont="1" applyFill="1" applyBorder="1" applyAlignment="1" applyProtection="1">
      <alignment vertical="top" wrapText="1" readingOrder="1"/>
      <protection locked="0"/>
    </xf>
    <xf numFmtId="0" fontId="7" fillId="0" borderId="7" xfId="0" applyFont="1" applyFill="1" applyBorder="1" applyAlignment="1" applyProtection="1">
      <alignment vertical="top" wrapText="1" readingOrder="1"/>
      <protection locked="0"/>
    </xf>
    <xf numFmtId="164" fontId="7" fillId="0" borderId="7" xfId="0" applyNumberFormat="1" applyFont="1" applyFill="1" applyBorder="1" applyAlignment="1" applyProtection="1">
      <alignment vertical="top" wrapText="1" readingOrder="1"/>
      <protection locked="0"/>
    </xf>
    <xf numFmtId="0" fontId="7" fillId="0" borderId="6" xfId="0" applyFont="1" applyFill="1" applyBorder="1" applyAlignment="1" applyProtection="1">
      <alignment vertical="top" wrapText="1" readingOrder="1"/>
      <protection locked="0"/>
    </xf>
    <xf numFmtId="164" fontId="7" fillId="0" borderId="6" xfId="0" applyNumberFormat="1" applyFont="1" applyFill="1" applyBorder="1" applyAlignment="1" applyProtection="1">
      <alignment vertical="top" wrapText="1" readingOrder="1"/>
      <protection locked="0"/>
    </xf>
    <xf numFmtId="164" fontId="7" fillId="0" borderId="5" xfId="0" applyNumberFormat="1" applyFont="1" applyFill="1" applyBorder="1" applyAlignment="1" applyProtection="1">
      <alignment vertical="top" wrapText="1" readingOrder="1"/>
      <protection locked="0"/>
    </xf>
    <xf numFmtId="0" fontId="4" fillId="0" borderId="5" xfId="0" applyFont="1" applyFill="1" applyBorder="1" applyAlignment="1" applyProtection="1">
      <alignment vertical="top" wrapText="1" readingOrder="1"/>
      <protection locked="0"/>
    </xf>
    <xf numFmtId="0" fontId="4" fillId="0" borderId="6" xfId="0" applyFont="1" applyFill="1" applyBorder="1" applyAlignment="1" applyProtection="1">
      <alignment vertical="top" wrapText="1" readingOrder="1"/>
      <protection locked="0"/>
    </xf>
    <xf numFmtId="49" fontId="7" fillId="0" borderId="6" xfId="0" applyNumberFormat="1" applyFont="1" applyFill="1" applyBorder="1" applyAlignment="1" applyProtection="1">
      <alignment horizontal="center" vertical="top" wrapText="1" readingOrder="1"/>
      <protection locked="0"/>
    </xf>
    <xf numFmtId="164" fontId="4" fillId="0" borderId="5" xfId="0" applyNumberFormat="1" applyFont="1" applyFill="1" applyBorder="1" applyAlignment="1" applyProtection="1">
      <alignment vertical="top" wrapText="1" readingOrder="1"/>
      <protection locked="0"/>
    </xf>
    <xf numFmtId="0" fontId="4" fillId="0" borderId="4" xfId="0" applyFont="1" applyFill="1" applyBorder="1" applyAlignment="1" applyProtection="1">
      <alignment vertical="top" wrapText="1" readingOrder="1"/>
      <protection locked="0"/>
    </xf>
    <xf numFmtId="166" fontId="4" fillId="0" borderId="4" xfId="0" applyNumberFormat="1" applyFont="1" applyFill="1" applyBorder="1" applyAlignment="1" applyProtection="1">
      <alignment vertical="top" wrapText="1" readingOrder="1"/>
      <protection locked="0"/>
    </xf>
    <xf numFmtId="0" fontId="4" fillId="0" borderId="3" xfId="0" applyFont="1" applyFill="1" applyBorder="1" applyAlignment="1" applyProtection="1">
      <alignment vertical="top" wrapText="1" readingOrder="1"/>
      <protection locked="0"/>
    </xf>
    <xf numFmtId="166" fontId="4" fillId="0" borderId="5" xfId="0" applyNumberFormat="1" applyFont="1" applyFill="1" applyBorder="1" applyAlignment="1" applyProtection="1">
      <alignment vertical="top" wrapText="1" readingOrder="1"/>
      <protection locked="0"/>
    </xf>
    <xf numFmtId="0" fontId="2" fillId="0" borderId="0" xfId="0" applyFont="1" applyFill="1" applyBorder="1"/>
    <xf numFmtId="0" fontId="4" fillId="0" borderId="0" xfId="0" applyFont="1" applyFill="1" applyBorder="1"/>
    <xf numFmtId="0" fontId="7" fillId="0" borderId="0" xfId="0" applyFont="1" applyFill="1" applyBorder="1"/>
    <xf numFmtId="0" fontId="8" fillId="0" borderId="0" xfId="0" applyFont="1" applyFill="1" applyBorder="1"/>
    <xf numFmtId="166" fontId="4" fillId="0" borderId="2" xfId="0" applyNumberFormat="1" applyFont="1" applyFill="1" applyBorder="1" applyAlignment="1" applyProtection="1">
      <alignment vertical="top" wrapText="1" readingOrder="1"/>
      <protection locked="0"/>
    </xf>
    <xf numFmtId="0" fontId="4" fillId="0" borderId="11" xfId="0" applyNumberFormat="1" applyFont="1" applyFill="1" applyBorder="1" applyAlignment="1" applyProtection="1">
      <alignment horizontal="center" vertical="top" wrapText="1" shrinkToFit="1"/>
      <protection locked="0"/>
    </xf>
    <xf numFmtId="166" fontId="4" fillId="0" borderId="10" xfId="0" applyNumberFormat="1" applyFont="1" applyFill="1" applyBorder="1" applyAlignment="1" applyProtection="1">
      <alignment vertical="top" wrapText="1" readingOrder="1"/>
      <protection locked="0"/>
    </xf>
    <xf numFmtId="0" fontId="4" fillId="0" borderId="22" xfId="0" applyFont="1" applyFill="1" applyBorder="1" applyAlignment="1" applyProtection="1">
      <alignment horizontal="center" vertical="top" wrapText="1" readingOrder="1"/>
      <protection locked="0"/>
    </xf>
    <xf numFmtId="0" fontId="7" fillId="0" borderId="26" xfId="0" applyFont="1" applyFill="1" applyBorder="1" applyAlignment="1" applyProtection="1">
      <alignment horizontal="center" vertical="top" wrapText="1" readingOrder="1"/>
      <protection locked="0"/>
    </xf>
    <xf numFmtId="49" fontId="4" fillId="0" borderId="16" xfId="0" applyNumberFormat="1" applyFont="1" applyFill="1" applyBorder="1" applyAlignment="1" applyProtection="1">
      <alignment horizontal="center" vertical="top" wrapText="1" readingOrder="1"/>
      <protection locked="0"/>
    </xf>
    <xf numFmtId="0" fontId="7" fillId="0" borderId="9" xfId="0" applyFont="1" applyFill="1" applyBorder="1" applyAlignment="1" applyProtection="1">
      <alignment horizontal="center" vertical="top" wrapText="1" readingOrder="1"/>
      <protection locked="0"/>
    </xf>
    <xf numFmtId="49" fontId="4" fillId="0" borderId="26" xfId="0" applyNumberFormat="1" applyFont="1" applyFill="1" applyBorder="1" applyAlignment="1" applyProtection="1">
      <alignment horizontal="center" vertical="top" wrapText="1" readingOrder="1"/>
      <protection locked="0"/>
    </xf>
    <xf numFmtId="0" fontId="7" fillId="0" borderId="25" xfId="0" applyFont="1" applyFill="1" applyBorder="1" applyAlignment="1" applyProtection="1">
      <alignment horizontal="center" vertical="top" wrapText="1" readingOrder="1"/>
      <protection locked="0"/>
    </xf>
    <xf numFmtId="164" fontId="7" fillId="0" borderId="14" xfId="0" applyNumberFormat="1" applyFont="1" applyFill="1" applyBorder="1" applyAlignment="1" applyProtection="1">
      <alignment vertical="top" wrapText="1" readingOrder="1"/>
      <protection locked="0"/>
    </xf>
    <xf numFmtId="165" fontId="4" fillId="0" borderId="1" xfId="0" applyNumberFormat="1" applyFont="1" applyFill="1" applyBorder="1" applyAlignment="1" applyProtection="1">
      <alignment vertical="top" wrapText="1" readingOrder="1"/>
      <protection locked="0"/>
    </xf>
    <xf numFmtId="164" fontId="7" fillId="0" borderId="12" xfId="0" applyNumberFormat="1" applyFont="1" applyFill="1" applyBorder="1" applyAlignment="1" applyProtection="1">
      <alignment vertical="top" wrapText="1" readingOrder="1"/>
      <protection locked="0"/>
    </xf>
    <xf numFmtId="164" fontId="4" fillId="0" borderId="12" xfId="0" applyNumberFormat="1" applyFont="1" applyFill="1" applyBorder="1" applyAlignment="1" applyProtection="1">
      <alignment vertical="top" wrapText="1" readingOrder="1"/>
      <protection locked="0"/>
    </xf>
    <xf numFmtId="164" fontId="4" fillId="0" borderId="10" xfId="0" applyNumberFormat="1" applyFont="1" applyFill="1" applyBorder="1" applyAlignment="1" applyProtection="1">
      <alignment vertical="top" wrapText="1" readingOrder="1"/>
      <protection locked="0"/>
    </xf>
    <xf numFmtId="164" fontId="7" fillId="0" borderId="10" xfId="0" applyNumberFormat="1" applyFont="1" applyFill="1" applyBorder="1" applyAlignment="1" applyProtection="1">
      <alignment vertical="top" wrapText="1" readingOrder="1"/>
      <protection locked="0"/>
    </xf>
    <xf numFmtId="164" fontId="4" fillId="0" borderId="30" xfId="0" applyNumberFormat="1" applyFont="1" applyFill="1" applyBorder="1" applyAlignment="1" applyProtection="1">
      <alignment vertical="top" wrapText="1" readingOrder="1"/>
      <protection locked="0"/>
    </xf>
    <xf numFmtId="164" fontId="7" fillId="0" borderId="30" xfId="0" applyNumberFormat="1" applyFont="1" applyFill="1" applyBorder="1" applyAlignment="1" applyProtection="1">
      <alignment vertical="top" wrapText="1" readingOrder="1"/>
      <protection locked="0"/>
    </xf>
    <xf numFmtId="49" fontId="7" fillId="0" borderId="3" xfId="0" applyNumberFormat="1" applyFont="1" applyFill="1" applyBorder="1" applyAlignment="1" applyProtection="1">
      <alignment horizontal="center" vertical="top" wrapText="1" readingOrder="1"/>
      <protection locked="0"/>
    </xf>
    <xf numFmtId="0" fontId="4" fillId="0" borderId="5" xfId="1" applyNumberFormat="1" applyFont="1" applyFill="1" applyBorder="1" applyAlignment="1">
      <alignment horizontal="center" vertical="center" wrapText="1"/>
    </xf>
    <xf numFmtId="0" fontId="3" fillId="0" borderId="2" xfId="0" applyNumberFormat="1" applyFont="1" applyFill="1" applyBorder="1" applyAlignment="1" applyProtection="1">
      <alignment vertical="top" wrapText="1" shrinkToFit="1"/>
      <protection locked="0"/>
    </xf>
    <xf numFmtId="0" fontId="4" fillId="0" borderId="14" xfId="0" applyNumberFormat="1" applyFont="1" applyFill="1" applyBorder="1" applyAlignment="1" applyProtection="1">
      <alignment horizontal="center" vertical="top" wrapText="1" shrinkToFit="1"/>
      <protection locked="0"/>
    </xf>
    <xf numFmtId="14" fontId="4" fillId="0" borderId="21" xfId="0" applyNumberFormat="1" applyFont="1" applyFill="1" applyBorder="1" applyAlignment="1" applyProtection="1">
      <alignment horizontal="center" vertical="top" wrapText="1" shrinkToFit="1"/>
      <protection locked="0"/>
    </xf>
    <xf numFmtId="14" fontId="3" fillId="0" borderId="5" xfId="0" applyNumberFormat="1" applyFont="1" applyFill="1" applyBorder="1" applyAlignment="1" applyProtection="1">
      <alignment horizontal="center" vertical="top" wrapText="1" shrinkToFit="1"/>
      <protection locked="0"/>
    </xf>
    <xf numFmtId="14" fontId="3" fillId="0" borderId="31" xfId="0" applyNumberFormat="1" applyFont="1" applyFill="1" applyBorder="1" applyAlignment="1" applyProtection="1">
      <alignment horizontal="center" vertical="top" wrapText="1" shrinkToFit="1"/>
      <protection locked="0"/>
    </xf>
    <xf numFmtId="14" fontId="4" fillId="0" borderId="11" xfId="0" applyNumberFormat="1" applyFont="1" applyFill="1" applyBorder="1" applyAlignment="1" applyProtection="1">
      <alignment horizontal="center" vertical="top" wrapText="1" shrinkToFit="1"/>
      <protection locked="0"/>
    </xf>
    <xf numFmtId="0" fontId="4" fillId="0" borderId="1" xfId="1" applyNumberFormat="1" applyFont="1" applyFill="1" applyBorder="1" applyAlignment="1">
      <alignment horizontal="center" vertical="top" wrapText="1"/>
    </xf>
    <xf numFmtId="14" fontId="4" fillId="0" borderId="5" xfId="0" applyNumberFormat="1" applyFont="1" applyFill="1" applyBorder="1" applyAlignment="1" applyProtection="1">
      <alignment vertical="top" wrapText="1" readingOrder="1"/>
      <protection locked="0"/>
    </xf>
    <xf numFmtId="0" fontId="7" fillId="0" borderId="3" xfId="0" applyFont="1" applyFill="1" applyBorder="1" applyAlignment="1" applyProtection="1">
      <alignment vertical="top" wrapText="1"/>
      <protection locked="0"/>
    </xf>
    <xf numFmtId="14" fontId="4" fillId="0" borderId="7" xfId="0" applyNumberFormat="1" applyFont="1" applyFill="1" applyBorder="1" applyAlignment="1" applyProtection="1">
      <alignment horizontal="center" vertical="top" wrapText="1" shrinkToFit="1"/>
      <protection locked="0"/>
    </xf>
    <xf numFmtId="49" fontId="13" fillId="0" borderId="5" xfId="0" applyNumberFormat="1" applyFont="1" applyFill="1" applyBorder="1" applyAlignment="1" applyProtection="1">
      <alignment horizontal="center" vertical="top" wrapText="1" readingOrder="1"/>
      <protection locked="0"/>
    </xf>
    <xf numFmtId="164" fontId="13" fillId="0" borderId="5" xfId="0" applyNumberFormat="1" applyFont="1" applyFill="1" applyBorder="1" applyAlignment="1" applyProtection="1">
      <alignment vertical="top" wrapText="1" readingOrder="1"/>
      <protection locked="0"/>
    </xf>
    <xf numFmtId="0" fontId="13" fillId="0" borderId="0" xfId="0" applyFont="1" applyFill="1" applyBorder="1"/>
    <xf numFmtId="49" fontId="13" fillId="0" borderId="4" xfId="0" applyNumberFormat="1" applyFont="1" applyFill="1" applyBorder="1" applyAlignment="1" applyProtection="1">
      <alignment horizontal="center" vertical="top" wrapText="1" readingOrder="1"/>
      <protection locked="0"/>
    </xf>
    <xf numFmtId="0" fontId="7" fillId="0" borderId="24" xfId="0" applyFont="1" applyFill="1" applyBorder="1" applyAlignment="1" applyProtection="1">
      <alignment horizontal="center" vertical="center" wrapText="1"/>
      <protection locked="0"/>
    </xf>
    <xf numFmtId="0" fontId="4" fillId="0" borderId="32" xfId="0" applyFont="1" applyFill="1" applyBorder="1" applyAlignment="1" applyProtection="1">
      <alignment horizontal="center" vertical="top" wrapText="1" readingOrder="1"/>
      <protection locked="0"/>
    </xf>
    <xf numFmtId="0" fontId="7" fillId="0" borderId="5" xfId="0" applyNumberFormat="1" applyFont="1" applyFill="1" applyBorder="1" applyAlignment="1" applyProtection="1">
      <alignment horizontal="center" vertical="top" wrapText="1" shrinkToFit="1"/>
      <protection locked="0"/>
    </xf>
    <xf numFmtId="0" fontId="7" fillId="0" borderId="3" xfId="0" applyFont="1" applyFill="1" applyBorder="1" applyAlignment="1" applyProtection="1">
      <alignment horizontal="left" vertical="top" wrapText="1" readingOrder="1"/>
      <protection locked="0"/>
    </xf>
    <xf numFmtId="0" fontId="4" fillId="0" borderId="3" xfId="0" applyNumberFormat="1" applyFont="1" applyFill="1" applyBorder="1" applyAlignment="1" applyProtection="1">
      <alignment horizontal="center" vertical="top" wrapText="1" shrinkToFit="1"/>
      <protection locked="0"/>
    </xf>
    <xf numFmtId="14" fontId="4" fillId="0" borderId="3" xfId="0" applyNumberFormat="1" applyFont="1" applyFill="1" applyBorder="1" applyAlignment="1" applyProtection="1">
      <alignment horizontal="center" vertical="top" wrapText="1" shrinkToFit="1"/>
      <protection locked="0"/>
    </xf>
    <xf numFmtId="49" fontId="4" fillId="0" borderId="3" xfId="0" applyNumberFormat="1" applyFont="1" applyFill="1" applyBorder="1" applyAlignment="1" applyProtection="1">
      <alignment horizontal="center" vertical="top" wrapText="1" readingOrder="1"/>
      <protection locked="0"/>
    </xf>
    <xf numFmtId="164" fontId="7" fillId="0" borderId="3" xfId="0" applyNumberFormat="1" applyFont="1" applyFill="1" applyBorder="1" applyAlignment="1" applyProtection="1">
      <alignment vertical="top" wrapText="1" readingOrder="1"/>
      <protection locked="0"/>
    </xf>
    <xf numFmtId="14" fontId="4" fillId="0" borderId="11" xfId="0" applyNumberFormat="1" applyFont="1" applyFill="1" applyBorder="1" applyAlignment="1" applyProtection="1">
      <alignment horizontal="center" vertical="center" wrapText="1" shrinkToFit="1"/>
      <protection locked="0"/>
    </xf>
    <xf numFmtId="14" fontId="3" fillId="0" borderId="3" xfId="0" applyNumberFormat="1" applyFont="1" applyFill="1" applyBorder="1" applyAlignment="1" applyProtection="1">
      <alignment horizontal="center" vertical="center" wrapText="1" shrinkToFit="1"/>
      <protection locked="0"/>
    </xf>
    <xf numFmtId="0" fontId="7" fillId="0" borderId="3" xfId="0" applyNumberFormat="1" applyFont="1" applyFill="1" applyBorder="1" applyAlignment="1" applyProtection="1">
      <alignment horizontal="center" vertical="top" wrapText="1" shrinkToFit="1"/>
      <protection locked="0"/>
    </xf>
    <xf numFmtId="0" fontId="9" fillId="0" borderId="11" xfId="0" applyNumberFormat="1" applyFont="1" applyFill="1" applyBorder="1" applyAlignment="1" applyProtection="1">
      <alignment horizontal="center" vertical="top" wrapText="1" shrinkToFit="1"/>
      <protection locked="0"/>
    </xf>
    <xf numFmtId="0" fontId="7" fillId="0" borderId="20" xfId="0" applyNumberFormat="1" applyFont="1" applyFill="1" applyBorder="1" applyAlignment="1" applyProtection="1">
      <alignment horizontal="center" vertical="top" wrapText="1" shrinkToFit="1"/>
      <protection locked="0"/>
    </xf>
    <xf numFmtId="14" fontId="7" fillId="0" borderId="5" xfId="0" applyNumberFormat="1" applyFont="1" applyFill="1" applyBorder="1" applyAlignment="1" applyProtection="1">
      <alignment horizontal="center" vertical="top" wrapText="1" shrinkToFit="1"/>
      <protection locked="0"/>
    </xf>
    <xf numFmtId="0" fontId="7" fillId="0" borderId="12" xfId="0" applyFont="1" applyFill="1" applyBorder="1" applyAlignment="1" applyProtection="1">
      <alignment horizontal="center" vertical="top" wrapText="1" readingOrder="1"/>
      <protection locked="0"/>
    </xf>
    <xf numFmtId="0" fontId="7" fillId="0" borderId="3" xfId="1" applyNumberFormat="1" applyFont="1" applyFill="1" applyBorder="1" applyAlignment="1">
      <alignment horizontal="center" vertical="top" wrapText="1"/>
    </xf>
    <xf numFmtId="49" fontId="4" fillId="0" borderId="37" xfId="0" applyNumberFormat="1" applyFont="1" applyFill="1" applyBorder="1" applyAlignment="1" applyProtection="1">
      <alignment horizontal="center" vertical="top" wrapText="1" readingOrder="1"/>
      <protection locked="0"/>
    </xf>
    <xf numFmtId="0" fontId="9" fillId="0" borderId="2" xfId="0" applyNumberFormat="1" applyFont="1" applyFill="1" applyBorder="1" applyAlignment="1" applyProtection="1">
      <alignment horizontal="center" vertical="top" wrapText="1" shrinkToFit="1"/>
      <protection locked="0"/>
    </xf>
    <xf numFmtId="14" fontId="9" fillId="0" borderId="2" xfId="0" applyNumberFormat="1" applyFont="1" applyFill="1" applyBorder="1" applyAlignment="1" applyProtection="1">
      <alignment horizontal="center" vertical="top" wrapText="1" shrinkToFit="1"/>
      <protection locked="0"/>
    </xf>
    <xf numFmtId="0" fontId="4" fillId="0" borderId="12" xfId="0" applyFont="1" applyFill="1" applyBorder="1" applyAlignment="1" applyProtection="1">
      <alignment horizontal="center" vertical="top" wrapText="1" readingOrder="1"/>
      <protection locked="0"/>
    </xf>
    <xf numFmtId="164" fontId="4" fillId="0" borderId="6" xfId="0" applyNumberFormat="1" applyFont="1" applyFill="1" applyBorder="1" applyAlignment="1" applyProtection="1">
      <alignment vertical="top" wrapText="1" readingOrder="1"/>
      <protection locked="0"/>
    </xf>
    <xf numFmtId="4" fontId="4" fillId="0" borderId="5" xfId="0" applyNumberFormat="1" applyFont="1" applyFill="1" applyBorder="1" applyAlignment="1" applyProtection="1">
      <alignment vertical="top" wrapText="1" readingOrder="1"/>
      <protection locked="0"/>
    </xf>
    <xf numFmtId="0" fontId="6" fillId="0" borderId="1" xfId="0" applyNumberFormat="1" applyFont="1" applyFill="1" applyBorder="1" applyAlignment="1" applyProtection="1">
      <alignment vertical="top" wrapText="1" shrinkToFit="1"/>
      <protection locked="0"/>
    </xf>
    <xf numFmtId="0" fontId="13" fillId="0" borderId="1" xfId="0" applyFont="1" applyFill="1" applyBorder="1" applyAlignment="1" applyProtection="1">
      <alignment vertical="top" wrapText="1" readingOrder="1"/>
      <protection locked="0"/>
    </xf>
    <xf numFmtId="0" fontId="13" fillId="0" borderId="4" xfId="0" applyFont="1" applyFill="1" applyBorder="1" applyAlignment="1" applyProtection="1">
      <alignment vertical="top" wrapText="1" readingOrder="1"/>
      <protection locked="0"/>
    </xf>
    <xf numFmtId="0" fontId="7" fillId="0" borderId="10" xfId="0" applyFont="1" applyFill="1" applyBorder="1" applyAlignment="1" applyProtection="1">
      <alignment horizontal="center" vertical="top" wrapText="1" readingOrder="1"/>
      <protection locked="0"/>
    </xf>
    <xf numFmtId="0" fontId="2" fillId="0" borderId="0" xfId="0" applyFont="1" applyFill="1" applyAlignment="1">
      <alignment horizontal="center" vertical="top"/>
    </xf>
    <xf numFmtId="0" fontId="3" fillId="0" borderId="17" xfId="0" applyNumberFormat="1" applyFont="1" applyFill="1" applyBorder="1" applyAlignment="1" applyProtection="1">
      <alignment horizontal="center" vertical="top" wrapText="1" shrinkToFit="1"/>
      <protection locked="0"/>
    </xf>
    <xf numFmtId="0" fontId="4" fillId="0" borderId="2" xfId="0" applyNumberFormat="1" applyFont="1" applyFill="1" applyBorder="1" applyAlignment="1" applyProtection="1">
      <alignment horizontal="center" vertical="top" wrapText="1" readingOrder="1"/>
      <protection locked="0"/>
    </xf>
    <xf numFmtId="0" fontId="4" fillId="0" borderId="1" xfId="0" applyNumberFormat="1" applyFont="1" applyFill="1" applyBorder="1" applyAlignment="1" applyProtection="1">
      <alignment vertical="top" wrapText="1" shrinkToFit="1"/>
      <protection locked="0"/>
    </xf>
    <xf numFmtId="0" fontId="4" fillId="0" borderId="12" xfId="0" applyNumberFormat="1" applyFont="1" applyFill="1" applyBorder="1" applyAlignment="1" applyProtection="1">
      <alignment horizontal="center" vertical="top" wrapText="1" shrinkToFit="1"/>
      <protection locked="0"/>
    </xf>
    <xf numFmtId="0" fontId="4" fillId="0" borderId="21" xfId="0" applyNumberFormat="1" applyFont="1" applyFill="1" applyBorder="1" applyAlignment="1" applyProtection="1">
      <alignment horizontal="center" vertical="top" wrapText="1" shrinkToFit="1"/>
      <protection locked="0"/>
    </xf>
    <xf numFmtId="0" fontId="3" fillId="0" borderId="39" xfId="0" applyNumberFormat="1" applyFont="1" applyFill="1" applyBorder="1" applyAlignment="1" applyProtection="1">
      <alignment horizontal="center" vertical="top" wrapText="1" shrinkToFit="1"/>
      <protection locked="0"/>
    </xf>
    <xf numFmtId="0" fontId="3" fillId="0" borderId="36" xfId="0" applyNumberFormat="1" applyFont="1" applyFill="1" applyBorder="1" applyAlignment="1" applyProtection="1">
      <alignment horizontal="center" vertical="top" wrapText="1" shrinkToFit="1"/>
      <protection locked="0"/>
    </xf>
    <xf numFmtId="14" fontId="3" fillId="0" borderId="36" xfId="0" applyNumberFormat="1" applyFont="1" applyFill="1" applyBorder="1" applyAlignment="1" applyProtection="1">
      <alignment horizontal="center" vertical="top" wrapText="1" shrinkToFit="1"/>
      <protection locked="0"/>
    </xf>
    <xf numFmtId="0" fontId="3" fillId="0" borderId="33" xfId="0" applyNumberFormat="1" applyFont="1" applyFill="1" applyBorder="1" applyAlignment="1" applyProtection="1">
      <alignment horizontal="center" vertical="top" wrapText="1" shrinkToFit="1"/>
      <protection locked="0"/>
    </xf>
    <xf numFmtId="0" fontId="3" fillId="0" borderId="29" xfId="0" applyNumberFormat="1" applyFont="1" applyFill="1" applyBorder="1" applyAlignment="1" applyProtection="1">
      <alignment horizontal="center" vertical="top" wrapText="1" shrinkToFit="1"/>
      <protection locked="0"/>
    </xf>
    <xf numFmtId="0" fontId="3" fillId="0" borderId="40" xfId="0" applyNumberFormat="1" applyFont="1" applyFill="1" applyBorder="1" applyAlignment="1" applyProtection="1">
      <alignment horizontal="center" vertical="top" wrapText="1" shrinkToFit="1"/>
      <protection locked="0"/>
    </xf>
    <xf numFmtId="14" fontId="3" fillId="0" borderId="18" xfId="0" applyNumberFormat="1" applyFont="1" applyFill="1" applyBorder="1" applyAlignment="1" applyProtection="1">
      <alignment horizontal="center" vertical="top" wrapText="1" shrinkToFit="1"/>
      <protection locked="0"/>
    </xf>
    <xf numFmtId="14" fontId="3" fillId="0" borderId="19" xfId="0" applyNumberFormat="1" applyFont="1" applyFill="1" applyBorder="1" applyAlignment="1" applyProtection="1">
      <alignment horizontal="center" vertical="top" wrapText="1" shrinkToFit="1"/>
      <protection locked="0"/>
    </xf>
    <xf numFmtId="0" fontId="3" fillId="0" borderId="3" xfId="0" applyNumberFormat="1" applyFont="1" applyFill="1" applyBorder="1" applyAlignment="1" applyProtection="1">
      <alignment horizontal="center" vertical="top" wrapText="1" shrinkToFit="1"/>
      <protection locked="0"/>
    </xf>
    <xf numFmtId="14" fontId="3" fillId="0" borderId="3" xfId="0" applyNumberFormat="1" applyFont="1" applyFill="1" applyBorder="1" applyAlignment="1" applyProtection="1">
      <alignment horizontal="center" vertical="top" wrapText="1" shrinkToFit="1"/>
      <protection locked="0"/>
    </xf>
    <xf numFmtId="0" fontId="4" fillId="0" borderId="29" xfId="0" applyNumberFormat="1" applyFont="1" applyFill="1" applyBorder="1" applyAlignment="1" applyProtection="1">
      <alignment horizontal="center" vertical="top" wrapText="1" shrinkToFit="1"/>
      <protection locked="0"/>
    </xf>
    <xf numFmtId="14" fontId="4" fillId="0" borderId="40" xfId="0" applyNumberFormat="1" applyFont="1" applyFill="1" applyBorder="1" applyAlignment="1" applyProtection="1">
      <alignment horizontal="center" vertical="top" wrapText="1" shrinkToFit="1"/>
      <protection locked="0"/>
    </xf>
    <xf numFmtId="14" fontId="3" fillId="0" borderId="8" xfId="0" applyNumberFormat="1" applyFont="1" applyFill="1" applyBorder="1" applyAlignment="1" applyProtection="1">
      <alignment horizontal="center" vertical="top" wrapText="1" shrinkToFit="1"/>
      <protection locked="0"/>
    </xf>
    <xf numFmtId="0" fontId="3" fillId="0" borderId="7" xfId="1" applyNumberFormat="1" applyFont="1" applyFill="1" applyBorder="1" applyAlignment="1">
      <alignment horizontal="center" vertical="top" wrapText="1"/>
    </xf>
    <xf numFmtId="0" fontId="4" fillId="0" borderId="6" xfId="0" applyNumberFormat="1" applyFont="1" applyFill="1" applyBorder="1" applyAlignment="1" applyProtection="1">
      <alignment horizontal="center" vertical="center" wrapText="1" shrinkToFit="1"/>
      <protection locked="0"/>
    </xf>
    <xf numFmtId="166" fontId="7" fillId="0" borderId="6" xfId="0" applyNumberFormat="1" applyFont="1" applyFill="1" applyBorder="1" applyAlignment="1" applyProtection="1">
      <alignment vertical="top" wrapText="1" readingOrder="1"/>
      <protection locked="0"/>
    </xf>
    <xf numFmtId="164" fontId="4" fillId="0" borderId="23" xfId="0" applyNumberFormat="1" applyFont="1" applyFill="1" applyBorder="1" applyAlignment="1" applyProtection="1">
      <alignment vertical="top" wrapText="1" readingOrder="1"/>
      <protection locked="0"/>
    </xf>
    <xf numFmtId="49" fontId="4" fillId="0" borderId="10" xfId="0" applyNumberFormat="1" applyFont="1" applyFill="1" applyBorder="1" applyAlignment="1" applyProtection="1">
      <alignment horizontal="center" vertical="top" wrapText="1" readingOrder="1"/>
      <protection locked="0"/>
    </xf>
    <xf numFmtId="0" fontId="4" fillId="0" borderId="3" xfId="0" applyNumberFormat="1" applyFont="1" applyFill="1" applyBorder="1" applyAlignment="1" applyProtection="1">
      <alignment horizontal="center" vertical="center" wrapText="1" shrinkToFit="1"/>
      <protection locked="0"/>
    </xf>
    <xf numFmtId="14" fontId="4" fillId="0" borderId="3" xfId="0" applyNumberFormat="1" applyFont="1" applyFill="1" applyBorder="1" applyAlignment="1" applyProtection="1">
      <alignment horizontal="center" vertical="center" wrapText="1" shrinkToFit="1"/>
      <protection locked="0"/>
    </xf>
    <xf numFmtId="0" fontId="4" fillId="0" borderId="5" xfId="0" applyNumberFormat="1" applyFont="1" applyFill="1" applyBorder="1" applyAlignment="1" applyProtection="1">
      <alignment vertical="top" wrapText="1" shrinkToFit="1"/>
      <protection locked="0"/>
    </xf>
    <xf numFmtId="49" fontId="13" fillId="0" borderId="6" xfId="0" applyNumberFormat="1" applyFont="1" applyFill="1" applyBorder="1" applyAlignment="1" applyProtection="1">
      <alignment horizontal="center" vertical="top" wrapText="1" readingOrder="1"/>
      <protection locked="0"/>
    </xf>
    <xf numFmtId="0" fontId="6" fillId="0" borderId="31" xfId="0" applyNumberFormat="1" applyFont="1" applyFill="1" applyBorder="1" applyAlignment="1" applyProtection="1">
      <alignment horizontal="center" vertical="top" wrapText="1"/>
    </xf>
    <xf numFmtId="0" fontId="4" fillId="0" borderId="8" xfId="0" applyNumberFormat="1" applyFont="1" applyFill="1" applyBorder="1" applyAlignment="1" applyProtection="1">
      <alignment horizontal="center" vertical="top" wrapText="1" shrinkToFit="1"/>
      <protection locked="0"/>
    </xf>
    <xf numFmtId="0" fontId="7" fillId="0" borderId="7" xfId="0" applyFont="1" applyFill="1" applyBorder="1" applyAlignment="1" applyProtection="1">
      <alignment vertical="top" wrapText="1"/>
      <protection locked="0"/>
    </xf>
    <xf numFmtId="0" fontId="7" fillId="0" borderId="7" xfId="0" applyFont="1" applyFill="1" applyBorder="1" applyAlignment="1" applyProtection="1">
      <alignment horizontal="center" vertical="top" wrapText="1"/>
      <protection locked="0"/>
    </xf>
    <xf numFmtId="0" fontId="4" fillId="0" borderId="18" xfId="0" applyFont="1" applyFill="1" applyBorder="1" applyAlignment="1" applyProtection="1">
      <alignment horizontal="center" vertical="top" wrapText="1" readingOrder="1"/>
      <protection locked="0"/>
    </xf>
    <xf numFmtId="14" fontId="3" fillId="0" borderId="35" xfId="0" applyNumberFormat="1" applyFont="1" applyFill="1" applyBorder="1" applyAlignment="1" applyProtection="1">
      <alignment horizontal="center" vertical="top" wrapText="1" shrinkToFit="1"/>
      <protection locked="0"/>
    </xf>
    <xf numFmtId="0" fontId="3" fillId="0" borderId="34" xfId="0" applyNumberFormat="1" applyFont="1" applyFill="1" applyBorder="1" applyAlignment="1" applyProtection="1">
      <alignment horizontal="center" vertical="top" wrapText="1" shrinkToFit="1"/>
      <protection locked="0"/>
    </xf>
    <xf numFmtId="0" fontId="4" fillId="0" borderId="44" xfId="0" applyFont="1" applyFill="1" applyBorder="1" applyAlignment="1" applyProtection="1">
      <alignment horizontal="center" vertical="top" wrapText="1" readingOrder="1"/>
      <protection locked="0"/>
    </xf>
    <xf numFmtId="0" fontId="4" fillId="0" borderId="7" xfId="0" applyNumberFormat="1" applyFont="1" applyFill="1" applyBorder="1" applyAlignment="1" applyProtection="1">
      <alignment horizontal="center" vertical="top" wrapText="1" shrinkToFit="1"/>
      <protection locked="0"/>
    </xf>
    <xf numFmtId="166" fontId="4" fillId="0" borderId="30" xfId="0" applyNumberFormat="1" applyFont="1" applyFill="1" applyBorder="1" applyAlignment="1" applyProtection="1">
      <alignment vertical="top" wrapText="1" readingOrder="1"/>
      <protection locked="0"/>
    </xf>
    <xf numFmtId="0" fontId="4" fillId="0" borderId="2" xfId="0" applyFont="1" applyFill="1" applyBorder="1" applyAlignment="1" applyProtection="1">
      <alignment horizontal="center" wrapText="1"/>
      <protection locked="0"/>
    </xf>
    <xf numFmtId="0" fontId="3" fillId="0" borderId="6" xfId="1" applyNumberFormat="1" applyFont="1" applyFill="1" applyBorder="1" applyAlignment="1">
      <alignment horizontal="center" vertical="top" wrapText="1"/>
    </xf>
    <xf numFmtId="165" fontId="4" fillId="0" borderId="7" xfId="0" applyNumberFormat="1" applyFont="1" applyFill="1" applyBorder="1" applyAlignment="1" applyProtection="1">
      <alignment vertical="top" wrapText="1" readingOrder="1"/>
      <protection locked="0"/>
    </xf>
    <xf numFmtId="49" fontId="4" fillId="0" borderId="45" xfId="0" applyNumberFormat="1" applyFont="1" applyFill="1" applyBorder="1" applyAlignment="1" applyProtection="1">
      <alignment horizontal="center" vertical="top" wrapText="1" readingOrder="1"/>
      <protection locked="0"/>
    </xf>
    <xf numFmtId="0" fontId="7" fillId="0" borderId="11" xfId="0" applyFont="1" applyFill="1" applyBorder="1" applyAlignment="1" applyProtection="1">
      <alignment vertical="top" wrapText="1"/>
      <protection locked="0"/>
    </xf>
    <xf numFmtId="0" fontId="7" fillId="0" borderId="11" xfId="0" applyFont="1" applyFill="1" applyBorder="1" applyAlignment="1" applyProtection="1">
      <alignment horizontal="center" vertical="top" wrapText="1"/>
      <protection locked="0"/>
    </xf>
    <xf numFmtId="0" fontId="3" fillId="0" borderId="12" xfId="0" applyNumberFormat="1" applyFont="1" applyFill="1" applyBorder="1" applyAlignment="1" applyProtection="1">
      <alignment horizontal="center" vertical="top" wrapText="1" shrinkToFit="1"/>
      <protection locked="0"/>
    </xf>
    <xf numFmtId="0" fontId="7" fillId="0" borderId="20" xfId="0" applyFont="1" applyFill="1" applyBorder="1" applyAlignment="1" applyProtection="1">
      <alignment horizontal="center" vertical="top" wrapText="1" readingOrder="1"/>
      <protection locked="0"/>
    </xf>
    <xf numFmtId="0" fontId="4" fillId="0" borderId="5" xfId="1" applyNumberFormat="1" applyFont="1" applyFill="1" applyBorder="1" applyAlignment="1">
      <alignment horizontal="center" vertical="top" wrapText="1"/>
    </xf>
    <xf numFmtId="0" fontId="3" fillId="0" borderId="8" xfId="0" applyNumberFormat="1" applyFont="1" applyFill="1" applyBorder="1" applyAlignment="1" applyProtection="1">
      <alignment horizontal="center" vertical="center" wrapText="1" shrinkToFit="1"/>
      <protection locked="0"/>
    </xf>
    <xf numFmtId="0" fontId="4" fillId="0" borderId="5" xfId="0" applyFont="1" applyFill="1" applyBorder="1" applyAlignment="1" applyProtection="1">
      <alignment horizontal="left" vertical="top" wrapText="1" readingOrder="1"/>
      <protection locked="0"/>
    </xf>
    <xf numFmtId="0" fontId="4" fillId="0" borderId="46" xfId="0" applyFont="1" applyFill="1" applyBorder="1" applyAlignment="1" applyProtection="1">
      <alignment horizontal="center" vertical="top" wrapText="1" readingOrder="1"/>
      <protection locked="0"/>
    </xf>
    <xf numFmtId="164" fontId="4" fillId="0" borderId="20" xfId="0" applyNumberFormat="1" applyFont="1" applyFill="1" applyBorder="1" applyAlignment="1" applyProtection="1">
      <alignment vertical="top" wrapText="1" readingOrder="1"/>
      <protection locked="0"/>
    </xf>
    <xf numFmtId="164" fontId="4" fillId="0" borderId="16" xfId="0" applyNumberFormat="1" applyFont="1" applyFill="1" applyBorder="1" applyAlignment="1" applyProtection="1">
      <alignment vertical="top" wrapText="1" readingOrder="1"/>
      <protection locked="0"/>
    </xf>
    <xf numFmtId="164" fontId="4" fillId="0" borderId="27" xfId="0" applyNumberFormat="1" applyFont="1" applyFill="1" applyBorder="1" applyAlignment="1" applyProtection="1">
      <alignment vertical="top" wrapText="1" readingOrder="1"/>
      <protection locked="0"/>
    </xf>
    <xf numFmtId="164" fontId="7" fillId="0" borderId="16" xfId="0" applyNumberFormat="1" applyFont="1" applyFill="1" applyBorder="1" applyAlignment="1" applyProtection="1">
      <alignment vertical="top" wrapText="1" readingOrder="1"/>
      <protection locked="0"/>
    </xf>
    <xf numFmtId="166" fontId="4" fillId="0" borderId="27" xfId="0" applyNumberFormat="1" applyFont="1" applyFill="1" applyBorder="1" applyAlignment="1" applyProtection="1">
      <alignment vertical="top" wrapText="1" readingOrder="1"/>
      <protection locked="0"/>
    </xf>
    <xf numFmtId="164" fontId="7" fillId="0" borderId="20" xfId="0" applyNumberFormat="1" applyFont="1" applyFill="1" applyBorder="1" applyAlignment="1" applyProtection="1">
      <alignment vertical="top" wrapText="1" readingOrder="1"/>
      <protection locked="0"/>
    </xf>
    <xf numFmtId="164" fontId="7" fillId="0" borderId="27" xfId="0" applyNumberFormat="1" applyFont="1" applyFill="1" applyBorder="1" applyAlignment="1" applyProtection="1">
      <alignment vertical="top" wrapText="1" readingOrder="1"/>
      <protection locked="0"/>
    </xf>
    <xf numFmtId="166" fontId="4" fillId="0" borderId="16" xfId="0" applyNumberFormat="1" applyFont="1" applyFill="1" applyBorder="1" applyAlignment="1" applyProtection="1">
      <alignment vertical="top" wrapText="1" readingOrder="1"/>
      <protection locked="0"/>
    </xf>
    <xf numFmtId="164" fontId="4" fillId="0" borderId="45" xfId="0" applyNumberFormat="1" applyFont="1" applyFill="1" applyBorder="1" applyAlignment="1" applyProtection="1">
      <alignment vertical="top" wrapText="1" readingOrder="1"/>
      <protection locked="0"/>
    </xf>
    <xf numFmtId="0" fontId="4" fillId="0" borderId="34" xfId="0" applyNumberFormat="1" applyFont="1" applyFill="1" applyBorder="1" applyAlignment="1" applyProtection="1">
      <alignment horizontal="center" vertical="top" wrapText="1" shrinkToFit="1"/>
      <protection locked="0"/>
    </xf>
    <xf numFmtId="0" fontId="4" fillId="0" borderId="16" xfId="0" applyFont="1" applyFill="1" applyBorder="1" applyAlignment="1" applyProtection="1">
      <alignment vertical="top" wrapText="1" readingOrder="1"/>
      <protection locked="0"/>
    </xf>
    <xf numFmtId="0" fontId="3" fillId="0" borderId="4" xfId="0" applyNumberFormat="1" applyFont="1" applyFill="1" applyBorder="1" applyAlignment="1" applyProtection="1">
      <alignment vertical="top" wrapText="1" shrinkToFit="1"/>
      <protection locked="0"/>
    </xf>
    <xf numFmtId="0" fontId="7" fillId="0" borderId="50" xfId="0" applyFont="1" applyFill="1" applyBorder="1" applyAlignment="1" applyProtection="1">
      <alignment vertical="top" wrapText="1" readingOrder="1"/>
      <protection locked="0"/>
    </xf>
    <xf numFmtId="0" fontId="7" fillId="0" borderId="50" xfId="0" applyFont="1" applyFill="1" applyBorder="1" applyAlignment="1" applyProtection="1">
      <alignment horizontal="center" vertical="top" wrapText="1" readingOrder="1"/>
      <protection locked="0"/>
    </xf>
    <xf numFmtId="0" fontId="7" fillId="0" borderId="5" xfId="1" applyNumberFormat="1" applyFont="1" applyFill="1" applyBorder="1" applyAlignment="1">
      <alignment horizontal="center" vertical="center" wrapText="1"/>
    </xf>
    <xf numFmtId="49" fontId="7" fillId="0" borderId="50" xfId="0" applyNumberFormat="1" applyFont="1" applyFill="1" applyBorder="1" applyAlignment="1" applyProtection="1">
      <alignment horizontal="center" vertical="top" wrapText="1" readingOrder="1"/>
      <protection locked="0"/>
    </xf>
    <xf numFmtId="0" fontId="4" fillId="0" borderId="50" xfId="0" applyFont="1" applyFill="1" applyBorder="1" applyAlignment="1" applyProtection="1">
      <alignment vertical="top" wrapText="1"/>
      <protection locked="0"/>
    </xf>
    <xf numFmtId="0" fontId="4" fillId="0" borderId="50" xfId="0" applyFont="1" applyFill="1" applyBorder="1" applyAlignment="1" applyProtection="1">
      <alignment horizontal="center" vertical="top" wrapText="1"/>
      <protection locked="0"/>
    </xf>
    <xf numFmtId="0" fontId="4" fillId="0" borderId="48" xfId="0" applyNumberFormat="1" applyFont="1" applyFill="1" applyBorder="1" applyAlignment="1" applyProtection="1">
      <alignment horizontal="center" vertical="top" wrapText="1" shrinkToFit="1"/>
      <protection locked="0"/>
    </xf>
    <xf numFmtId="0" fontId="4" fillId="0" borderId="46" xfId="0" applyNumberFormat="1" applyFont="1" applyFill="1" applyBorder="1" applyAlignment="1" applyProtection="1">
      <alignment horizontal="center" vertical="top" wrapText="1" shrinkToFit="1"/>
      <protection locked="0"/>
    </xf>
    <xf numFmtId="0" fontId="4" fillId="0" borderId="49" xfId="0" applyNumberFormat="1" applyFont="1" applyFill="1" applyBorder="1" applyAlignment="1" applyProtection="1">
      <alignment horizontal="center" vertical="top" wrapText="1" shrinkToFit="1"/>
      <protection locked="0"/>
    </xf>
    <xf numFmtId="164" fontId="7" fillId="0" borderId="50" xfId="0" applyNumberFormat="1" applyFont="1" applyFill="1" applyBorder="1" applyAlignment="1" applyProtection="1">
      <alignment vertical="top" wrapText="1" readingOrder="1"/>
      <protection locked="0"/>
    </xf>
    <xf numFmtId="14" fontId="3" fillId="0" borderId="50" xfId="0" applyNumberFormat="1" applyFont="1" applyFill="1" applyBorder="1" applyAlignment="1" applyProtection="1">
      <alignment horizontal="center" vertical="center" wrapText="1" shrinkToFit="1"/>
      <protection locked="0"/>
    </xf>
    <xf numFmtId="0" fontId="4" fillId="0" borderId="47" xfId="0" applyFont="1" applyFill="1" applyBorder="1" applyAlignment="1" applyProtection="1">
      <alignment horizontal="left" vertical="top" wrapText="1" readingOrder="1"/>
      <protection locked="0"/>
    </xf>
    <xf numFmtId="164" fontId="7" fillId="0" borderId="33" xfId="0" applyNumberFormat="1" applyFont="1" applyFill="1" applyBorder="1" applyAlignment="1" applyProtection="1">
      <alignment vertical="top" wrapText="1" readingOrder="1"/>
      <protection locked="0"/>
    </xf>
    <xf numFmtId="49" fontId="4" fillId="0" borderId="53" xfId="0" applyNumberFormat="1" applyFont="1" applyFill="1" applyBorder="1" applyAlignment="1" applyProtection="1">
      <alignment horizontal="center" vertical="top" wrapText="1" readingOrder="1"/>
      <protection locked="0"/>
    </xf>
    <xf numFmtId="166" fontId="4" fillId="0" borderId="53" xfId="0" applyNumberFormat="1" applyFont="1" applyFill="1" applyBorder="1" applyAlignment="1" applyProtection="1">
      <alignment vertical="top" wrapText="1" readingOrder="1"/>
      <protection locked="0"/>
    </xf>
    <xf numFmtId="0" fontId="7" fillId="0" borderId="32" xfId="0" applyFont="1" applyFill="1" applyBorder="1" applyAlignment="1" applyProtection="1">
      <alignment horizontal="center" vertical="top" wrapText="1" readingOrder="1"/>
      <protection locked="0"/>
    </xf>
    <xf numFmtId="49" fontId="4" fillId="0" borderId="55" xfId="0" applyNumberFormat="1" applyFont="1" applyFill="1" applyBorder="1" applyAlignment="1" applyProtection="1">
      <alignment horizontal="center" vertical="top" wrapText="1" readingOrder="1"/>
      <protection locked="0"/>
    </xf>
    <xf numFmtId="0" fontId="4" fillId="0" borderId="9" xfId="0" applyFont="1" applyFill="1" applyBorder="1" applyAlignment="1" applyProtection="1">
      <alignment vertical="top" wrapText="1" readingOrder="1"/>
      <protection locked="0"/>
    </xf>
    <xf numFmtId="0" fontId="4" fillId="0" borderId="56" xfId="0" applyFont="1" applyFill="1" applyBorder="1" applyAlignment="1" applyProtection="1">
      <alignment vertical="top" wrapText="1" readingOrder="1"/>
      <protection locked="0"/>
    </xf>
    <xf numFmtId="49" fontId="4" fillId="0" borderId="57" xfId="0" applyNumberFormat="1" applyFont="1" applyFill="1" applyBorder="1" applyAlignment="1" applyProtection="1">
      <alignment horizontal="center" vertical="top" wrapText="1" readingOrder="1"/>
      <protection locked="0"/>
    </xf>
    <xf numFmtId="49" fontId="4" fillId="0" borderId="59" xfId="0" applyNumberFormat="1" applyFont="1" applyFill="1" applyBorder="1" applyAlignment="1" applyProtection="1">
      <alignment horizontal="center" vertical="top" wrapText="1" readingOrder="1"/>
      <protection locked="0"/>
    </xf>
    <xf numFmtId="164" fontId="4" fillId="0" borderId="59" xfId="0" applyNumberFormat="1" applyFont="1" applyFill="1" applyBorder="1" applyAlignment="1" applyProtection="1">
      <alignment vertical="top" wrapText="1" readingOrder="1"/>
      <protection locked="0"/>
    </xf>
    <xf numFmtId="164" fontId="4" fillId="0" borderId="55" xfId="0" applyNumberFormat="1" applyFont="1" applyFill="1" applyBorder="1" applyAlignment="1" applyProtection="1">
      <alignment vertical="top" wrapText="1" readingOrder="1"/>
      <protection locked="0"/>
    </xf>
    <xf numFmtId="0" fontId="4" fillId="0" borderId="55" xfId="0" applyNumberFormat="1" applyFont="1" applyFill="1" applyBorder="1" applyAlignment="1" applyProtection="1">
      <alignment horizontal="center" vertical="top" wrapText="1" shrinkToFit="1"/>
      <protection locked="0"/>
    </xf>
    <xf numFmtId="166" fontId="4" fillId="0" borderId="55" xfId="0" applyNumberFormat="1" applyFont="1" applyFill="1" applyBorder="1" applyAlignment="1" applyProtection="1">
      <alignment vertical="top" wrapText="1" readingOrder="1"/>
      <protection locked="0"/>
    </xf>
    <xf numFmtId="49" fontId="4" fillId="0" borderId="58" xfId="0" applyNumberFormat="1" applyFont="1" applyFill="1" applyBorder="1" applyAlignment="1" applyProtection="1">
      <alignment horizontal="center" vertical="top" wrapText="1" readingOrder="1"/>
      <protection locked="0"/>
    </xf>
    <xf numFmtId="164" fontId="4" fillId="0" borderId="58" xfId="0" applyNumberFormat="1" applyFont="1" applyFill="1" applyBorder="1" applyAlignment="1" applyProtection="1">
      <alignment vertical="top" wrapText="1" readingOrder="1"/>
      <protection locked="0"/>
    </xf>
    <xf numFmtId="164" fontId="4" fillId="0" borderId="61" xfId="0" applyNumberFormat="1" applyFont="1" applyFill="1" applyBorder="1" applyAlignment="1" applyProtection="1">
      <alignment vertical="top" wrapText="1" readingOrder="1"/>
      <protection locked="0"/>
    </xf>
    <xf numFmtId="164" fontId="4" fillId="0" borderId="62" xfId="0" applyNumberFormat="1" applyFont="1" applyFill="1" applyBorder="1" applyAlignment="1" applyProtection="1">
      <alignment vertical="top" wrapText="1" readingOrder="1"/>
      <protection locked="0"/>
    </xf>
    <xf numFmtId="166" fontId="4" fillId="0" borderId="62" xfId="0" applyNumberFormat="1" applyFont="1" applyFill="1" applyBorder="1" applyAlignment="1" applyProtection="1">
      <alignment vertical="top" wrapText="1" readingOrder="1"/>
      <protection locked="0"/>
    </xf>
    <xf numFmtId="166" fontId="4" fillId="0" borderId="64" xfId="0" applyNumberFormat="1" applyFont="1" applyFill="1" applyBorder="1" applyAlignment="1" applyProtection="1">
      <alignment vertical="top" wrapText="1" readingOrder="1"/>
      <protection locked="0"/>
    </xf>
    <xf numFmtId="166" fontId="4" fillId="0" borderId="60" xfId="0" applyNumberFormat="1" applyFont="1" applyFill="1" applyBorder="1" applyAlignment="1" applyProtection="1">
      <alignment vertical="top" wrapText="1" readingOrder="1"/>
      <protection locked="0"/>
    </xf>
    <xf numFmtId="0" fontId="7" fillId="0" borderId="61" xfId="0" applyFont="1" applyFill="1" applyBorder="1" applyAlignment="1" applyProtection="1">
      <alignment vertical="top" wrapText="1" readingOrder="1"/>
      <protection locked="0"/>
    </xf>
    <xf numFmtId="164" fontId="7" fillId="0" borderId="64" xfId="0" applyNumberFormat="1" applyFont="1" applyFill="1" applyBorder="1" applyAlignment="1" applyProtection="1">
      <alignment vertical="top" wrapText="1" readingOrder="1"/>
      <protection locked="0"/>
    </xf>
    <xf numFmtId="164" fontId="4" fillId="0" borderId="64" xfId="0" applyNumberFormat="1" applyFont="1" applyFill="1" applyBorder="1" applyAlignment="1" applyProtection="1">
      <alignment vertical="top" wrapText="1" readingOrder="1"/>
      <protection locked="0"/>
    </xf>
    <xf numFmtId="165" fontId="4" fillId="0" borderId="62" xfId="0" applyNumberFormat="1" applyFont="1" applyFill="1" applyBorder="1" applyAlignment="1" applyProtection="1">
      <alignment vertical="top" wrapText="1" readingOrder="1"/>
      <protection locked="0"/>
    </xf>
    <xf numFmtId="165" fontId="4" fillId="0" borderId="64" xfId="0" applyNumberFormat="1" applyFont="1" applyFill="1" applyBorder="1" applyAlignment="1" applyProtection="1">
      <alignment vertical="top" wrapText="1" readingOrder="1"/>
      <protection locked="0"/>
    </xf>
    <xf numFmtId="164" fontId="7" fillId="0" borderId="55" xfId="0" applyNumberFormat="1" applyFont="1" applyFill="1" applyBorder="1" applyAlignment="1" applyProtection="1">
      <alignment vertical="top" wrapText="1" readingOrder="1"/>
      <protection locked="0"/>
    </xf>
    <xf numFmtId="164" fontId="7" fillId="0" borderId="62" xfId="0" applyNumberFormat="1" applyFont="1" applyFill="1" applyBorder="1" applyAlignment="1" applyProtection="1">
      <alignment vertical="top" wrapText="1" readingOrder="1"/>
      <protection locked="0"/>
    </xf>
    <xf numFmtId="166" fontId="4" fillId="0" borderId="61" xfId="0" applyNumberFormat="1" applyFont="1" applyFill="1" applyBorder="1" applyAlignment="1" applyProtection="1">
      <alignment vertical="top" wrapText="1" readingOrder="1"/>
      <protection locked="0"/>
    </xf>
    <xf numFmtId="0" fontId="7" fillId="0" borderId="16" xfId="0" applyFont="1" applyFill="1" applyBorder="1" applyAlignment="1" applyProtection="1">
      <alignment horizontal="center" vertical="top" wrapText="1" readingOrder="1"/>
      <protection locked="0"/>
    </xf>
    <xf numFmtId="49" fontId="4" fillId="0" borderId="23" xfId="0" applyNumberFormat="1" applyFont="1" applyFill="1" applyBorder="1" applyAlignment="1" applyProtection="1">
      <alignment horizontal="center" vertical="top" wrapText="1" readingOrder="1"/>
      <protection locked="0"/>
    </xf>
    <xf numFmtId="0" fontId="4" fillId="0" borderId="64" xfId="0" applyFont="1" applyFill="1" applyBorder="1" applyAlignment="1" applyProtection="1">
      <alignment vertical="top" wrapText="1" readingOrder="1"/>
      <protection locked="0"/>
    </xf>
    <xf numFmtId="49" fontId="4" fillId="0" borderId="64" xfId="0" applyNumberFormat="1" applyFont="1" applyFill="1" applyBorder="1" applyAlignment="1" applyProtection="1">
      <alignment horizontal="center" vertical="top" wrapText="1" readingOrder="1"/>
      <protection locked="0"/>
    </xf>
    <xf numFmtId="0" fontId="4" fillId="0" borderId="64" xfId="0" applyFont="1" applyFill="1" applyBorder="1" applyAlignment="1" applyProtection="1">
      <alignment vertical="top" wrapText="1"/>
      <protection locked="0"/>
    </xf>
    <xf numFmtId="0" fontId="4" fillId="0" borderId="62" xfId="0" applyNumberFormat="1" applyFont="1" applyFill="1" applyBorder="1" applyAlignment="1" applyProtection="1">
      <alignment vertical="top" wrapText="1" shrinkToFit="1"/>
      <protection locked="0"/>
    </xf>
    <xf numFmtId="0" fontId="4" fillId="0" borderId="63" xfId="0" applyFont="1" applyFill="1" applyBorder="1" applyAlignment="1" applyProtection="1">
      <alignment vertical="top" wrapText="1" readingOrder="1"/>
      <protection locked="0"/>
    </xf>
    <xf numFmtId="49" fontId="4" fillId="0" borderId="62" xfId="0" applyNumberFormat="1" applyFont="1" applyFill="1" applyBorder="1" applyAlignment="1" applyProtection="1">
      <alignment horizontal="center" vertical="top" wrapText="1" readingOrder="1"/>
      <protection locked="0"/>
    </xf>
    <xf numFmtId="166" fontId="4" fillId="0" borderId="58" xfId="0" applyNumberFormat="1" applyFont="1" applyFill="1" applyBorder="1" applyAlignment="1" applyProtection="1">
      <alignment vertical="top" wrapText="1" readingOrder="1"/>
      <protection locked="0"/>
    </xf>
    <xf numFmtId="0" fontId="10" fillId="0" borderId="62" xfId="0" applyNumberFormat="1" applyFont="1" applyFill="1" applyBorder="1" applyAlignment="1" applyProtection="1">
      <alignment horizontal="center" vertical="top" wrapText="1"/>
    </xf>
    <xf numFmtId="49" fontId="7" fillId="0" borderId="62" xfId="0" applyNumberFormat="1" applyFont="1" applyFill="1" applyBorder="1" applyAlignment="1" applyProtection="1">
      <alignment horizontal="center" vertical="top" wrapText="1" readingOrder="1"/>
      <protection locked="0"/>
    </xf>
    <xf numFmtId="0" fontId="7" fillId="0" borderId="62" xfId="0" applyFont="1" applyFill="1" applyBorder="1" applyAlignment="1" applyProtection="1">
      <alignment vertical="top" wrapText="1" readingOrder="1"/>
      <protection locked="0"/>
    </xf>
    <xf numFmtId="164" fontId="4" fillId="0" borderId="54" xfId="0" applyNumberFormat="1" applyFont="1" applyFill="1" applyBorder="1" applyAlignment="1" applyProtection="1">
      <alignment vertical="top" wrapText="1" readingOrder="1"/>
      <protection locked="0"/>
    </xf>
    <xf numFmtId="166" fontId="4" fillId="0" borderId="68" xfId="0" applyNumberFormat="1" applyFont="1" applyFill="1" applyBorder="1" applyAlignment="1" applyProtection="1">
      <alignment vertical="top" wrapText="1" readingOrder="1"/>
      <protection locked="0"/>
    </xf>
    <xf numFmtId="49" fontId="4" fillId="0" borderId="68" xfId="0" applyNumberFormat="1" applyFont="1" applyFill="1" applyBorder="1" applyAlignment="1" applyProtection="1">
      <alignment horizontal="center" vertical="top" wrapText="1" readingOrder="1"/>
      <protection locked="0"/>
    </xf>
    <xf numFmtId="164" fontId="7" fillId="0" borderId="51" xfId="0" applyNumberFormat="1" applyFont="1" applyFill="1" applyBorder="1" applyAlignment="1" applyProtection="1">
      <alignment vertical="top" wrapText="1" readingOrder="1"/>
      <protection locked="0"/>
    </xf>
    <xf numFmtId="0" fontId="4" fillId="0" borderId="58" xfId="0" applyFont="1" applyFill="1" applyBorder="1" applyAlignment="1" applyProtection="1">
      <alignment vertical="top" wrapText="1" readingOrder="1"/>
      <protection locked="0"/>
    </xf>
    <xf numFmtId="0" fontId="4" fillId="0" borderId="54" xfId="0" applyFont="1" applyFill="1" applyBorder="1" applyAlignment="1" applyProtection="1">
      <alignment vertical="top" wrapText="1" readingOrder="1"/>
      <protection locked="0"/>
    </xf>
    <xf numFmtId="49" fontId="4" fillId="0" borderId="69" xfId="0" applyNumberFormat="1" applyFont="1" applyFill="1" applyBorder="1" applyAlignment="1" applyProtection="1">
      <alignment horizontal="center" vertical="top" wrapText="1" readingOrder="1"/>
      <protection locked="0"/>
    </xf>
    <xf numFmtId="166" fontId="4" fillId="0" borderId="54" xfId="0" applyNumberFormat="1" applyFont="1" applyFill="1" applyBorder="1" applyAlignment="1" applyProtection="1">
      <alignment vertical="top" wrapText="1" readingOrder="1"/>
      <protection locked="0"/>
    </xf>
    <xf numFmtId="0" fontId="4" fillId="0" borderId="58" xfId="0" applyFont="1" applyFill="1" applyBorder="1" applyAlignment="1" applyProtection="1">
      <alignment horizontal="center" vertical="top" wrapText="1" readingOrder="1"/>
      <protection locked="0"/>
    </xf>
    <xf numFmtId="0" fontId="7" fillId="0" borderId="58" xfId="0" applyFont="1" applyFill="1" applyBorder="1" applyAlignment="1" applyProtection="1">
      <alignment vertical="top" wrapText="1" readingOrder="1"/>
      <protection locked="0"/>
    </xf>
    <xf numFmtId="0" fontId="7" fillId="0" borderId="58" xfId="0" applyFont="1" applyFill="1" applyBorder="1" applyAlignment="1" applyProtection="1">
      <alignment horizontal="center" vertical="top" wrapText="1" readingOrder="1"/>
      <protection locked="0"/>
    </xf>
    <xf numFmtId="49" fontId="7" fillId="0" borderId="58" xfId="0" applyNumberFormat="1" applyFont="1" applyFill="1" applyBorder="1" applyAlignment="1" applyProtection="1">
      <alignment horizontal="center" vertical="top" wrapText="1" readingOrder="1"/>
      <protection locked="0"/>
    </xf>
    <xf numFmtId="164" fontId="7" fillId="0" borderId="58" xfId="0" applyNumberFormat="1" applyFont="1" applyFill="1" applyBorder="1" applyAlignment="1" applyProtection="1">
      <alignment vertical="top" wrapText="1" readingOrder="1"/>
      <protection locked="0"/>
    </xf>
    <xf numFmtId="0" fontId="4" fillId="0" borderId="72" xfId="0" applyNumberFormat="1" applyFont="1" applyFill="1" applyBorder="1" applyAlignment="1" applyProtection="1">
      <alignment horizontal="center" vertical="top" wrapText="1" shrinkToFit="1"/>
      <protection locked="0"/>
    </xf>
    <xf numFmtId="0" fontId="4" fillId="0" borderId="54" xfId="0" applyNumberFormat="1" applyFont="1" applyFill="1" applyBorder="1" applyAlignment="1" applyProtection="1">
      <alignment horizontal="center" vertical="top" wrapText="1" shrinkToFit="1"/>
      <protection locked="0"/>
    </xf>
    <xf numFmtId="14" fontId="4" fillId="0" borderId="72" xfId="0" applyNumberFormat="1" applyFont="1" applyFill="1" applyBorder="1" applyAlignment="1" applyProtection="1">
      <alignment horizontal="center" vertical="top" wrapText="1" shrinkToFit="1"/>
      <protection locked="0"/>
    </xf>
    <xf numFmtId="14" fontId="4" fillId="0" borderId="54" xfId="0" applyNumberFormat="1" applyFont="1" applyFill="1" applyBorder="1" applyAlignment="1" applyProtection="1">
      <alignment horizontal="center" vertical="top" wrapText="1" shrinkToFit="1"/>
      <protection locked="0"/>
    </xf>
    <xf numFmtId="0" fontId="3" fillId="0" borderId="64" xfId="0" applyNumberFormat="1" applyFont="1" applyFill="1" applyBorder="1" applyAlignment="1" applyProtection="1">
      <alignment horizontal="center" vertical="center" wrapText="1" shrinkToFit="1"/>
      <protection locked="0"/>
    </xf>
    <xf numFmtId="0" fontId="3" fillId="0" borderId="64" xfId="0" applyNumberFormat="1" applyFont="1" applyFill="1" applyBorder="1" applyAlignment="1" applyProtection="1">
      <alignment vertical="top" wrapText="1" shrinkToFit="1"/>
      <protection locked="0"/>
    </xf>
    <xf numFmtId="0" fontId="4" fillId="0" borderId="0" xfId="0" applyFont="1" applyFill="1" applyBorder="1" applyAlignment="1" applyProtection="1">
      <alignment vertical="top" wrapText="1" readingOrder="1"/>
      <protection locked="0"/>
    </xf>
    <xf numFmtId="164" fontId="4" fillId="0" borderId="72" xfId="0" applyNumberFormat="1" applyFont="1" applyFill="1" applyBorder="1" applyAlignment="1" applyProtection="1">
      <alignment vertical="top" wrapText="1" readingOrder="1"/>
      <protection locked="0"/>
    </xf>
    <xf numFmtId="0" fontId="7" fillId="0" borderId="72" xfId="0" applyFont="1" applyFill="1" applyBorder="1" applyAlignment="1" applyProtection="1">
      <alignment horizontal="center" vertical="top" wrapText="1" readingOrder="1"/>
      <protection locked="0"/>
    </xf>
    <xf numFmtId="0" fontId="7" fillId="0" borderId="72" xfId="0" applyFont="1" applyFill="1" applyBorder="1" applyAlignment="1" applyProtection="1">
      <alignment vertical="top" wrapText="1" readingOrder="1"/>
      <protection locked="0"/>
    </xf>
    <xf numFmtId="0" fontId="4" fillId="0" borderId="68" xfId="0" applyFont="1" applyFill="1" applyBorder="1" applyAlignment="1" applyProtection="1">
      <alignment vertical="top" wrapText="1" readingOrder="1"/>
      <protection locked="0"/>
    </xf>
    <xf numFmtId="164" fontId="4" fillId="0" borderId="68" xfId="0" applyNumberFormat="1" applyFont="1" applyFill="1" applyBorder="1" applyAlignment="1" applyProtection="1">
      <alignment vertical="top" wrapText="1" readingOrder="1"/>
      <protection locked="0"/>
    </xf>
    <xf numFmtId="0" fontId="7" fillId="0" borderId="74" xfId="0" applyFont="1" applyFill="1" applyBorder="1" applyAlignment="1" applyProtection="1">
      <alignment vertical="top" wrapText="1" readingOrder="1"/>
      <protection locked="0"/>
    </xf>
    <xf numFmtId="49" fontId="7" fillId="0" borderId="72" xfId="0" applyNumberFormat="1" applyFont="1" applyFill="1" applyBorder="1" applyAlignment="1" applyProtection="1">
      <alignment horizontal="center" vertical="top" wrapText="1" readingOrder="1"/>
      <protection locked="0"/>
    </xf>
    <xf numFmtId="166" fontId="7" fillId="0" borderId="72" xfId="0" applyNumberFormat="1" applyFont="1" applyFill="1" applyBorder="1" applyAlignment="1" applyProtection="1">
      <alignment vertical="top" wrapText="1" readingOrder="1"/>
      <protection locked="0"/>
    </xf>
    <xf numFmtId="0" fontId="4" fillId="0" borderId="74" xfId="0" applyNumberFormat="1" applyFont="1" applyFill="1" applyBorder="1" applyAlignment="1" applyProtection="1">
      <alignment horizontal="center" vertical="top" wrapText="1" shrinkToFit="1"/>
      <protection locked="0"/>
    </xf>
    <xf numFmtId="14" fontId="4" fillId="0" borderId="74" xfId="0" applyNumberFormat="1" applyFont="1" applyFill="1" applyBorder="1" applyAlignment="1" applyProtection="1">
      <alignment horizontal="center" vertical="top" wrapText="1" shrinkToFit="1"/>
      <protection locked="0"/>
    </xf>
    <xf numFmtId="49" fontId="7" fillId="0" borderId="74" xfId="0" applyNumberFormat="1" applyFont="1" applyFill="1" applyBorder="1" applyAlignment="1" applyProtection="1">
      <alignment horizontal="center" vertical="top" wrapText="1" readingOrder="1"/>
      <protection locked="0"/>
    </xf>
    <xf numFmtId="166" fontId="7" fillId="0" borderId="74" xfId="0" applyNumberFormat="1" applyFont="1" applyFill="1" applyBorder="1" applyAlignment="1" applyProtection="1">
      <alignment vertical="top" wrapText="1" readingOrder="1"/>
      <protection locked="0"/>
    </xf>
    <xf numFmtId="0" fontId="4" fillId="0" borderId="72" xfId="0" applyFont="1" applyFill="1" applyBorder="1" applyAlignment="1" applyProtection="1">
      <alignment vertical="top" wrapText="1" readingOrder="1"/>
      <protection locked="0"/>
    </xf>
    <xf numFmtId="164" fontId="4" fillId="0" borderId="74" xfId="0" applyNumberFormat="1" applyFont="1" applyFill="1" applyBorder="1" applyAlignment="1" applyProtection="1">
      <alignment vertical="top" wrapText="1" readingOrder="1"/>
      <protection locked="0"/>
    </xf>
    <xf numFmtId="0" fontId="3" fillId="0" borderId="18" xfId="0" applyNumberFormat="1" applyFont="1" applyFill="1" applyBorder="1" applyAlignment="1" applyProtection="1">
      <alignment horizontal="center" vertical="top" wrapText="1" shrinkToFit="1"/>
      <protection locked="0"/>
    </xf>
    <xf numFmtId="164" fontId="7" fillId="0" borderId="48" xfId="0" applyNumberFormat="1" applyFont="1" applyFill="1" applyBorder="1" applyAlignment="1" applyProtection="1">
      <alignment vertical="top" wrapText="1" readingOrder="1"/>
      <protection locked="0"/>
    </xf>
    <xf numFmtId="0" fontId="3" fillId="0" borderId="71" xfId="0" applyNumberFormat="1" applyFont="1" applyFill="1" applyBorder="1" applyAlignment="1" applyProtection="1">
      <alignment horizontal="center" vertical="top" wrapText="1" shrinkToFit="1"/>
      <protection locked="0"/>
    </xf>
    <xf numFmtId="0" fontId="3" fillId="0" borderId="60" xfId="0" applyNumberFormat="1" applyFont="1" applyFill="1" applyBorder="1" applyAlignment="1" applyProtection="1">
      <alignment horizontal="center" vertical="top" wrapText="1" shrinkToFit="1"/>
      <protection locked="0"/>
    </xf>
    <xf numFmtId="166" fontId="4" fillId="0" borderId="74" xfId="0" applyNumberFormat="1" applyFont="1" applyFill="1" applyBorder="1" applyAlignment="1" applyProtection="1">
      <alignment vertical="top" wrapText="1" readingOrder="1"/>
      <protection locked="0"/>
    </xf>
    <xf numFmtId="0" fontId="7" fillId="0" borderId="7" xfId="0" applyFont="1" applyFill="1" applyBorder="1" applyAlignment="1" applyProtection="1">
      <alignment horizontal="center" vertical="top" wrapText="1" readingOrder="1"/>
      <protection locked="0"/>
    </xf>
    <xf numFmtId="0" fontId="6" fillId="0" borderId="14" xfId="0" applyNumberFormat="1" applyFont="1" applyFill="1" applyBorder="1" applyAlignment="1" applyProtection="1">
      <alignment horizontal="center" vertical="top" wrapText="1" shrinkToFit="1"/>
      <protection locked="0"/>
    </xf>
    <xf numFmtId="0" fontId="6" fillId="0" borderId="1" xfId="0" applyNumberFormat="1" applyFont="1" applyFill="1" applyBorder="1" applyAlignment="1" applyProtection="1">
      <alignment horizontal="center" vertical="top" wrapText="1" shrinkToFit="1"/>
      <protection locked="0"/>
    </xf>
    <xf numFmtId="166" fontId="4" fillId="0" borderId="70" xfId="0" applyNumberFormat="1" applyFont="1" applyFill="1" applyBorder="1" applyAlignment="1" applyProtection="1">
      <alignment vertical="top" wrapText="1" readingOrder="1"/>
      <protection locked="0"/>
    </xf>
    <xf numFmtId="0" fontId="4" fillId="0" borderId="68" xfId="0" applyNumberFormat="1" applyFont="1" applyFill="1" applyBorder="1" applyAlignment="1" applyProtection="1">
      <alignment vertical="top" wrapText="1" shrinkToFit="1"/>
      <protection locked="0"/>
    </xf>
    <xf numFmtId="49" fontId="4" fillId="0" borderId="60" xfId="0" applyNumberFormat="1" applyFont="1" applyFill="1" applyBorder="1" applyAlignment="1" applyProtection="1">
      <alignment horizontal="center" vertical="top" wrapText="1" readingOrder="1"/>
      <protection locked="0"/>
    </xf>
    <xf numFmtId="14" fontId="4" fillId="0" borderId="70" xfId="0" applyNumberFormat="1" applyFont="1" applyFill="1" applyBorder="1" applyAlignment="1" applyProtection="1">
      <alignment horizontal="center" vertical="top" wrapText="1" shrinkToFit="1"/>
      <protection locked="0"/>
    </xf>
    <xf numFmtId="0" fontId="4" fillId="0" borderId="61" xfId="0" applyFont="1" applyFill="1" applyBorder="1" applyAlignment="1" applyProtection="1">
      <alignment horizontal="center" vertical="top" wrapText="1" readingOrder="1"/>
      <protection locked="0"/>
    </xf>
    <xf numFmtId="0" fontId="7" fillId="0" borderId="70" xfId="0" applyFont="1" applyFill="1" applyBorder="1" applyAlignment="1" applyProtection="1">
      <alignment vertical="top" wrapText="1" readingOrder="1"/>
      <protection locked="0"/>
    </xf>
    <xf numFmtId="0" fontId="7" fillId="0" borderId="70" xfId="0" applyFont="1" applyFill="1" applyBorder="1" applyAlignment="1" applyProtection="1">
      <alignment horizontal="center" vertical="top" wrapText="1" readingOrder="1"/>
      <protection locked="0"/>
    </xf>
    <xf numFmtId="49" fontId="7" fillId="0" borderId="70" xfId="0" applyNumberFormat="1" applyFont="1" applyFill="1" applyBorder="1" applyAlignment="1" applyProtection="1">
      <alignment horizontal="center" vertical="top" wrapText="1" readingOrder="1"/>
      <protection locked="0"/>
    </xf>
    <xf numFmtId="166" fontId="7" fillId="0" borderId="70" xfId="0" applyNumberFormat="1" applyFont="1" applyFill="1" applyBorder="1" applyAlignment="1" applyProtection="1">
      <alignment vertical="top" wrapText="1" readingOrder="1"/>
      <protection locked="0"/>
    </xf>
    <xf numFmtId="0" fontId="7" fillId="0" borderId="64" xfId="0" applyFont="1" applyFill="1" applyBorder="1" applyAlignment="1" applyProtection="1">
      <alignment vertical="top" wrapText="1" readingOrder="1"/>
      <protection locked="0"/>
    </xf>
    <xf numFmtId="0" fontId="6" fillId="0" borderId="75" xfId="0" applyNumberFormat="1" applyFont="1" applyFill="1" applyBorder="1" applyAlignment="1" applyProtection="1">
      <alignment horizontal="center" vertical="center" wrapText="1" shrinkToFit="1"/>
      <protection locked="0"/>
    </xf>
    <xf numFmtId="0" fontId="4" fillId="0" borderId="64" xfId="0" applyNumberFormat="1" applyFont="1" applyFill="1" applyBorder="1" applyAlignment="1" applyProtection="1">
      <alignment vertical="top" wrapText="1" shrinkToFit="1"/>
      <protection locked="0"/>
    </xf>
    <xf numFmtId="14" fontId="3" fillId="0" borderId="50" xfId="0" applyNumberFormat="1" applyFont="1" applyFill="1" applyBorder="1" applyAlignment="1" applyProtection="1">
      <alignment horizontal="center" vertical="top" wrapText="1" shrinkToFit="1"/>
      <protection locked="0"/>
    </xf>
    <xf numFmtId="0" fontId="3" fillId="0" borderId="11" xfId="0" applyNumberFormat="1" applyFont="1" applyFill="1" applyBorder="1" applyAlignment="1" applyProtection="1">
      <alignment horizontal="center" vertical="center" wrapText="1" shrinkToFit="1"/>
      <protection locked="0"/>
    </xf>
    <xf numFmtId="0" fontId="3" fillId="0" borderId="50" xfId="0" applyNumberFormat="1" applyFont="1" applyFill="1" applyBorder="1" applyAlignment="1" applyProtection="1">
      <alignment horizontal="center" vertical="center" wrapText="1" shrinkToFit="1"/>
      <protection locked="0"/>
    </xf>
    <xf numFmtId="166" fontId="4" fillId="0" borderId="35" xfId="0" applyNumberFormat="1" applyFont="1" applyFill="1" applyBorder="1" applyAlignment="1" applyProtection="1">
      <alignment vertical="top" wrapText="1" readingOrder="1"/>
      <protection locked="0"/>
    </xf>
    <xf numFmtId="49" fontId="4" fillId="0" borderId="4" xfId="0" applyNumberFormat="1" applyFont="1" applyFill="1" applyBorder="1" applyAlignment="1" applyProtection="1">
      <alignment horizontal="center" vertical="top" wrapText="1" readingOrder="1"/>
      <protection locked="0"/>
    </xf>
    <xf numFmtId="49" fontId="4" fillId="0" borderId="1" xfId="0" applyNumberFormat="1" applyFont="1" applyFill="1" applyBorder="1" applyAlignment="1" applyProtection="1">
      <alignment horizontal="center" vertical="top" wrapText="1" readingOrder="1"/>
      <protection locked="0"/>
    </xf>
    <xf numFmtId="49" fontId="4" fillId="0" borderId="5" xfId="0" applyNumberFormat="1" applyFont="1" applyFill="1" applyBorder="1" applyAlignment="1" applyProtection="1">
      <alignment horizontal="center" vertical="top" wrapText="1" readingOrder="1"/>
      <protection locked="0"/>
    </xf>
    <xf numFmtId="0" fontId="3" fillId="0" borderId="1" xfId="0" applyNumberFormat="1" applyFont="1" applyFill="1" applyBorder="1" applyAlignment="1" applyProtection="1">
      <alignment horizontal="center" vertical="center" wrapText="1" shrinkToFit="1"/>
      <protection locked="0"/>
    </xf>
    <xf numFmtId="49" fontId="7" fillId="0" borderId="2" xfId="0" applyNumberFormat="1" applyFont="1" applyFill="1" applyBorder="1" applyAlignment="1" applyProtection="1">
      <alignment horizontal="center" vertical="top" wrapText="1" readingOrder="1"/>
      <protection locked="0"/>
    </xf>
    <xf numFmtId="14" fontId="4" fillId="0" borderId="6" xfId="0" applyNumberFormat="1" applyFont="1" applyFill="1" applyBorder="1" applyAlignment="1" applyProtection="1">
      <alignment horizontal="center" vertical="top" wrapText="1" shrinkToFit="1"/>
      <protection locked="0"/>
    </xf>
    <xf numFmtId="14" fontId="4" fillId="0" borderId="4" xfId="0" applyNumberFormat="1" applyFont="1" applyFill="1" applyBorder="1" applyAlignment="1" applyProtection="1">
      <alignment horizontal="center" vertical="top" wrapText="1" shrinkToFit="1"/>
      <protection locked="0"/>
    </xf>
    <xf numFmtId="14" fontId="3" fillId="0" borderId="11" xfId="0" applyNumberFormat="1" applyFont="1" applyFill="1" applyBorder="1" applyAlignment="1" applyProtection="1">
      <alignment horizontal="center" vertical="top" wrapText="1" shrinkToFit="1"/>
      <protection locked="0"/>
    </xf>
    <xf numFmtId="164" fontId="4" fillId="0" borderId="5" xfId="0" applyNumberFormat="1" applyFont="1" applyFill="1" applyBorder="1" applyAlignment="1" applyProtection="1">
      <alignment horizontal="center" vertical="top" wrapText="1" readingOrder="1"/>
      <protection locked="0"/>
    </xf>
    <xf numFmtId="164" fontId="4" fillId="0" borderId="52" xfId="0" applyNumberFormat="1" applyFont="1" applyFill="1" applyBorder="1" applyAlignment="1" applyProtection="1">
      <alignment vertical="top" wrapText="1" readingOrder="1"/>
      <protection locked="0"/>
    </xf>
    <xf numFmtId="164" fontId="7" fillId="0" borderId="4" xfId="0" applyNumberFormat="1" applyFont="1" applyFill="1" applyBorder="1" applyAlignment="1" applyProtection="1">
      <alignment vertical="top" wrapText="1" readingOrder="1"/>
      <protection locked="0"/>
    </xf>
    <xf numFmtId="0" fontId="6" fillId="0" borderId="62" xfId="1" applyFont="1" applyFill="1" applyBorder="1" applyAlignment="1">
      <alignment horizontal="center" vertical="top" wrapText="1"/>
    </xf>
    <xf numFmtId="0" fontId="6" fillId="0" borderId="62" xfId="0" applyNumberFormat="1" applyFont="1" applyFill="1" applyBorder="1" applyAlignment="1" applyProtection="1">
      <alignment vertical="top" wrapText="1" shrinkToFit="1"/>
      <protection locked="0"/>
    </xf>
    <xf numFmtId="164" fontId="4" fillId="0" borderId="79" xfId="0" applyNumberFormat="1" applyFont="1" applyFill="1" applyBorder="1" applyAlignment="1" applyProtection="1">
      <alignment vertical="top" wrapText="1" readingOrder="1"/>
      <protection locked="0"/>
    </xf>
    <xf numFmtId="0" fontId="4" fillId="0" borderId="81" xfId="0" applyFont="1" applyFill="1" applyBorder="1" applyAlignment="1" applyProtection="1">
      <alignment vertical="top" wrapText="1" readingOrder="1"/>
      <protection locked="0"/>
    </xf>
    <xf numFmtId="0" fontId="4" fillId="0" borderId="81" xfId="0" applyFont="1" applyFill="1" applyBorder="1" applyAlignment="1" applyProtection="1">
      <alignment horizontal="center" vertical="top" wrapText="1" readingOrder="1"/>
      <protection locked="0"/>
    </xf>
    <xf numFmtId="0" fontId="3" fillId="0" borderId="82" xfId="0" applyNumberFormat="1" applyFont="1" applyFill="1" applyBorder="1" applyAlignment="1" applyProtection="1">
      <alignment horizontal="center" vertical="top" wrapText="1" shrinkToFit="1"/>
      <protection locked="0"/>
    </xf>
    <xf numFmtId="0" fontId="3" fillId="0" borderId="83" xfId="0" applyNumberFormat="1" applyFont="1" applyFill="1" applyBorder="1" applyAlignment="1" applyProtection="1">
      <alignment horizontal="center" vertical="top" wrapText="1" shrinkToFit="1"/>
      <protection locked="0"/>
    </xf>
    <xf numFmtId="14" fontId="3" fillId="0" borderId="83" xfId="0" applyNumberFormat="1" applyFont="1" applyFill="1" applyBorder="1" applyAlignment="1" applyProtection="1">
      <alignment horizontal="center" vertical="top" wrapText="1" shrinkToFit="1"/>
      <protection locked="0"/>
    </xf>
    <xf numFmtId="0" fontId="3" fillId="0" borderId="84" xfId="0" applyNumberFormat="1" applyFont="1" applyFill="1" applyBorder="1" applyAlignment="1" applyProtection="1">
      <alignment horizontal="center" vertical="top" wrapText="1" shrinkToFit="1"/>
      <protection locked="0"/>
    </xf>
    <xf numFmtId="164" fontId="4" fillId="0" borderId="81" xfId="0" applyNumberFormat="1" applyFont="1" applyFill="1" applyBorder="1" applyAlignment="1" applyProtection="1">
      <alignment vertical="top" wrapText="1" readingOrder="1"/>
      <protection locked="0"/>
    </xf>
    <xf numFmtId="49" fontId="13" fillId="0" borderId="78" xfId="0" applyNumberFormat="1" applyFont="1" applyFill="1" applyBorder="1" applyAlignment="1" applyProtection="1">
      <alignment horizontal="center" vertical="top" wrapText="1" readingOrder="1"/>
      <protection locked="0"/>
    </xf>
    <xf numFmtId="164" fontId="13" fillId="0" borderId="78" xfId="0" applyNumberFormat="1" applyFont="1" applyFill="1" applyBorder="1" applyAlignment="1" applyProtection="1">
      <alignment vertical="top" wrapText="1" readingOrder="1"/>
      <protection locked="0"/>
    </xf>
    <xf numFmtId="49" fontId="13" fillId="0" borderId="74" xfId="0" applyNumberFormat="1" applyFont="1" applyFill="1" applyBorder="1" applyAlignment="1" applyProtection="1">
      <alignment horizontal="center" vertical="top" wrapText="1" readingOrder="1"/>
      <protection locked="0"/>
    </xf>
    <xf numFmtId="164" fontId="13" fillId="0" borderId="74" xfId="0" applyNumberFormat="1" applyFont="1" applyFill="1" applyBorder="1" applyAlignment="1" applyProtection="1">
      <alignment vertical="top" wrapText="1" readingOrder="1"/>
      <protection locked="0"/>
    </xf>
    <xf numFmtId="49" fontId="4" fillId="0" borderId="87" xfId="0" applyNumberFormat="1" applyFont="1" applyFill="1" applyBorder="1" applyAlignment="1" applyProtection="1">
      <alignment horizontal="center" vertical="top" wrapText="1" readingOrder="1"/>
      <protection locked="0"/>
    </xf>
    <xf numFmtId="49" fontId="4" fillId="0" borderId="85" xfId="0" applyNumberFormat="1" applyFont="1" applyFill="1" applyBorder="1" applyAlignment="1" applyProtection="1">
      <alignment horizontal="center" vertical="top" wrapText="1" readingOrder="1"/>
      <protection locked="0"/>
    </xf>
    <xf numFmtId="164" fontId="4" fillId="0" borderId="85" xfId="0" applyNumberFormat="1" applyFont="1" applyFill="1" applyBorder="1" applyAlignment="1" applyProtection="1">
      <alignment vertical="top" wrapText="1" readingOrder="1"/>
      <protection locked="0"/>
    </xf>
    <xf numFmtId="49" fontId="4" fillId="0" borderId="38" xfId="0" applyNumberFormat="1" applyFont="1" applyFill="1" applyBorder="1" applyAlignment="1" applyProtection="1">
      <alignment horizontal="center" vertical="top" wrapText="1" readingOrder="1"/>
      <protection locked="0"/>
    </xf>
    <xf numFmtId="0" fontId="3" fillId="0" borderId="89" xfId="0" applyNumberFormat="1" applyFont="1" applyFill="1" applyBorder="1" applyAlignment="1" applyProtection="1">
      <alignment horizontal="center" vertical="top" wrapText="1" shrinkToFit="1"/>
      <protection locked="0"/>
    </xf>
    <xf numFmtId="0" fontId="13" fillId="0" borderId="62" xfId="0" applyFont="1" applyFill="1" applyBorder="1" applyAlignment="1" applyProtection="1">
      <alignment vertical="top" wrapText="1" readingOrder="1"/>
      <protection locked="0"/>
    </xf>
    <xf numFmtId="49" fontId="4" fillId="0" borderId="88" xfId="0" applyNumberFormat="1" applyFont="1" applyFill="1" applyBorder="1" applyAlignment="1" applyProtection="1">
      <alignment horizontal="center" vertical="top" wrapText="1" readingOrder="1"/>
      <protection locked="0"/>
    </xf>
    <xf numFmtId="49" fontId="13" fillId="0" borderId="88" xfId="0" applyNumberFormat="1" applyFont="1" applyFill="1" applyBorder="1" applyAlignment="1" applyProtection="1">
      <alignment horizontal="center" vertical="top" wrapText="1" readingOrder="1"/>
      <protection locked="0"/>
    </xf>
    <xf numFmtId="164" fontId="13" fillId="0" borderId="88" xfId="0" applyNumberFormat="1" applyFont="1" applyFill="1" applyBorder="1" applyAlignment="1" applyProtection="1">
      <alignment vertical="top" wrapText="1" readingOrder="1"/>
      <protection locked="0"/>
    </xf>
    <xf numFmtId="0" fontId="8" fillId="0" borderId="90" xfId="0" applyFont="1" applyFill="1" applyBorder="1" applyAlignment="1" applyProtection="1">
      <alignment vertical="top" wrapText="1" readingOrder="1"/>
      <protection locked="0"/>
    </xf>
    <xf numFmtId="0" fontId="8" fillId="0" borderId="90" xfId="0" applyFont="1" applyFill="1" applyBorder="1" applyAlignment="1" applyProtection="1">
      <alignment horizontal="center" vertical="top" wrapText="1" readingOrder="1"/>
      <protection locked="0"/>
    </xf>
    <xf numFmtId="49" fontId="8" fillId="0" borderId="89" xfId="0" applyNumberFormat="1" applyFont="1" applyFill="1" applyBorder="1" applyAlignment="1" applyProtection="1">
      <alignment horizontal="center" vertical="top" wrapText="1" readingOrder="1"/>
      <protection locked="0"/>
    </xf>
    <xf numFmtId="164" fontId="8" fillId="0" borderId="89" xfId="0" applyNumberFormat="1" applyFont="1" applyFill="1" applyBorder="1" applyAlignment="1" applyProtection="1">
      <alignment vertical="top" wrapText="1" readingOrder="1"/>
      <protection locked="0"/>
    </xf>
    <xf numFmtId="0" fontId="3" fillId="0" borderId="2" xfId="0" applyNumberFormat="1" applyFont="1" applyFill="1" applyBorder="1" applyAlignment="1" applyProtection="1">
      <alignment horizontal="center" vertical="center" wrapText="1" shrinkToFit="1"/>
      <protection locked="0"/>
    </xf>
    <xf numFmtId="49" fontId="4" fillId="0" borderId="86" xfId="0" applyNumberFormat="1" applyFont="1" applyFill="1" applyBorder="1" applyAlignment="1" applyProtection="1">
      <alignment horizontal="center" vertical="top" wrapText="1" readingOrder="1"/>
      <protection locked="0"/>
    </xf>
    <xf numFmtId="0" fontId="3" fillId="0" borderId="64" xfId="0" applyNumberFormat="1" applyFont="1" applyFill="1" applyBorder="1" applyAlignment="1" applyProtection="1">
      <alignment vertical="center" wrapText="1" shrinkToFit="1"/>
      <protection locked="0"/>
    </xf>
    <xf numFmtId="166" fontId="4" fillId="0" borderId="86" xfId="0" applyNumberFormat="1" applyFont="1" applyFill="1" applyBorder="1" applyAlignment="1" applyProtection="1">
      <alignment vertical="top" wrapText="1" readingOrder="1"/>
      <protection locked="0"/>
    </xf>
    <xf numFmtId="49" fontId="4" fillId="0" borderId="92" xfId="0" applyNumberFormat="1" applyFont="1" applyFill="1" applyBorder="1" applyAlignment="1" applyProtection="1">
      <alignment horizontal="center" vertical="top" wrapText="1" readingOrder="1"/>
      <protection locked="0"/>
    </xf>
    <xf numFmtId="164" fontId="4" fillId="0" borderId="92" xfId="0" applyNumberFormat="1" applyFont="1" applyFill="1" applyBorder="1" applyAlignment="1" applyProtection="1">
      <alignment vertical="top" wrapText="1" readingOrder="1"/>
      <protection locked="0"/>
    </xf>
    <xf numFmtId="0" fontId="3" fillId="0" borderId="14" xfId="0" applyNumberFormat="1" applyFont="1" applyFill="1" applyBorder="1" applyAlignment="1" applyProtection="1">
      <alignment horizontal="center" vertical="top" wrapText="1" shrinkToFit="1"/>
      <protection locked="0"/>
    </xf>
    <xf numFmtId="0" fontId="4" fillId="0" borderId="91" xfId="0" applyNumberFormat="1" applyFont="1" applyFill="1" applyBorder="1" applyAlignment="1" applyProtection="1">
      <alignment horizontal="center" vertical="top" wrapText="1" shrinkToFit="1"/>
      <protection locked="0"/>
    </xf>
    <xf numFmtId="14" fontId="4" fillId="0" borderId="91" xfId="0" applyNumberFormat="1" applyFont="1" applyFill="1" applyBorder="1" applyAlignment="1" applyProtection="1">
      <alignment horizontal="center" vertical="top" wrapText="1" shrinkToFit="1"/>
      <protection locked="0"/>
    </xf>
    <xf numFmtId="49" fontId="4" fillId="0" borderId="93" xfId="0" applyNumberFormat="1" applyFont="1" applyFill="1" applyBorder="1" applyAlignment="1" applyProtection="1">
      <alignment horizontal="center" vertical="top" wrapText="1" readingOrder="1"/>
      <protection locked="0"/>
    </xf>
    <xf numFmtId="0" fontId="3" fillId="0" borderId="5" xfId="1" applyNumberFormat="1" applyFont="1" applyFill="1" applyBorder="1" applyAlignment="1">
      <alignment horizontal="center" vertical="center" wrapText="1"/>
    </xf>
    <xf numFmtId="0" fontId="4" fillId="0" borderId="94" xfId="0" applyFont="1" applyFill="1" applyBorder="1" applyAlignment="1">
      <alignment horizontal="center" vertical="top" wrapText="1"/>
    </xf>
    <xf numFmtId="0" fontId="6" fillId="0" borderId="5" xfId="0" applyNumberFormat="1" applyFont="1" applyFill="1" applyBorder="1" applyAlignment="1" applyProtection="1">
      <alignment horizontal="center" vertical="center" wrapText="1"/>
    </xf>
    <xf numFmtId="0" fontId="3" fillId="0" borderId="91" xfId="1" applyNumberFormat="1" applyFont="1" applyFill="1" applyBorder="1" applyAlignment="1">
      <alignment horizontal="center" vertical="center" wrapText="1"/>
    </xf>
    <xf numFmtId="166" fontId="4" fillId="0" borderId="68" xfId="0" applyNumberFormat="1" applyFont="1" applyFill="1" applyBorder="1" applyAlignment="1" applyProtection="1">
      <alignment horizontal="right" vertical="top" wrapText="1" readingOrder="1"/>
      <protection locked="0"/>
    </xf>
    <xf numFmtId="0" fontId="3" fillId="0" borderId="95" xfId="1" applyNumberFormat="1" applyFont="1" applyFill="1" applyBorder="1" applyAlignment="1">
      <alignment horizontal="center" vertical="center" wrapText="1"/>
    </xf>
    <xf numFmtId="0" fontId="4" fillId="0" borderId="95" xfId="0" applyNumberFormat="1" applyFont="1" applyFill="1" applyBorder="1" applyAlignment="1" applyProtection="1">
      <alignment horizontal="center" vertical="top" wrapText="1" shrinkToFit="1"/>
      <protection locked="0"/>
    </xf>
    <xf numFmtId="14" fontId="4" fillId="0" borderId="95" xfId="0" applyNumberFormat="1" applyFont="1" applyFill="1" applyBorder="1" applyAlignment="1" applyProtection="1">
      <alignment horizontal="center" vertical="top" wrapText="1" shrinkToFit="1"/>
      <protection locked="0"/>
    </xf>
    <xf numFmtId="49" fontId="4" fillId="0" borderId="94" xfId="0" applyNumberFormat="1" applyFont="1" applyFill="1" applyBorder="1" applyAlignment="1" applyProtection="1">
      <alignment horizontal="center" vertical="top" wrapText="1" readingOrder="1"/>
      <protection locked="0"/>
    </xf>
    <xf numFmtId="0" fontId="4" fillId="0" borderId="94" xfId="0" applyFont="1" applyFill="1" applyBorder="1" applyAlignment="1" applyProtection="1">
      <alignment vertical="top" wrapText="1" readingOrder="1"/>
      <protection locked="0"/>
    </xf>
    <xf numFmtId="0" fontId="6" fillId="0" borderId="94" xfId="0" applyNumberFormat="1" applyFont="1" applyFill="1" applyBorder="1" applyAlignment="1" applyProtection="1">
      <alignment horizontal="center" vertical="top" wrapText="1"/>
    </xf>
    <xf numFmtId="0" fontId="4" fillId="0" borderId="94" xfId="0" applyFont="1" applyFill="1" applyBorder="1" applyAlignment="1" applyProtection="1">
      <alignment horizontal="center" vertical="top" wrapText="1" readingOrder="1"/>
      <protection locked="0"/>
    </xf>
    <xf numFmtId="0" fontId="4" fillId="0" borderId="94" xfId="0" applyNumberFormat="1" applyFont="1" applyFill="1" applyBorder="1" applyAlignment="1" applyProtection="1">
      <alignment horizontal="center" vertical="top" wrapText="1" shrinkToFit="1"/>
      <protection locked="0"/>
    </xf>
    <xf numFmtId="14" fontId="4" fillId="0" borderId="94" xfId="0" applyNumberFormat="1" applyFont="1" applyFill="1" applyBorder="1" applyAlignment="1" applyProtection="1">
      <alignment horizontal="center" vertical="top" wrapText="1" shrinkToFit="1"/>
      <protection locked="0"/>
    </xf>
    <xf numFmtId="49" fontId="4" fillId="0" borderId="96" xfId="0" applyNumberFormat="1" applyFont="1" applyFill="1" applyBorder="1" applyAlignment="1" applyProtection="1">
      <alignment horizontal="center" vertical="top" wrapText="1" readingOrder="1"/>
      <protection locked="0"/>
    </xf>
    <xf numFmtId="164" fontId="4" fillId="0" borderId="96" xfId="0" applyNumberFormat="1" applyFont="1" applyFill="1" applyBorder="1" applyAlignment="1" applyProtection="1">
      <alignment vertical="top" wrapText="1" readingOrder="1"/>
      <protection locked="0"/>
    </xf>
    <xf numFmtId="0" fontId="4" fillId="0" borderId="96" xfId="0" applyFont="1" applyFill="1" applyBorder="1" applyAlignment="1" applyProtection="1">
      <alignment vertical="top" wrapText="1" readingOrder="1"/>
      <protection locked="0"/>
    </xf>
    <xf numFmtId="0" fontId="4" fillId="0" borderId="72" xfId="0" applyFont="1" applyFill="1" applyBorder="1" applyAlignment="1">
      <alignment horizontal="center" vertical="top" wrapText="1"/>
    </xf>
    <xf numFmtId="0" fontId="4" fillId="0" borderId="74" xfId="0" applyFont="1" applyFill="1" applyBorder="1" applyAlignment="1">
      <alignment horizontal="center" vertical="top" wrapText="1"/>
    </xf>
    <xf numFmtId="0" fontId="3" fillId="0" borderId="50" xfId="0" applyNumberFormat="1" applyFont="1" applyFill="1" applyBorder="1" applyAlignment="1" applyProtection="1">
      <alignment horizontal="center" vertical="top" wrapText="1" shrinkToFit="1"/>
      <protection locked="0"/>
    </xf>
    <xf numFmtId="0" fontId="4" fillId="0" borderId="2" xfId="0" applyNumberFormat="1" applyFont="1" applyFill="1" applyBorder="1" applyAlignment="1" applyProtection="1">
      <alignment horizontal="center" vertical="top" wrapText="1" shrinkToFit="1"/>
      <protection locked="0"/>
    </xf>
    <xf numFmtId="0" fontId="6" fillId="0" borderId="5" xfId="0" applyNumberFormat="1" applyFont="1" applyFill="1" applyBorder="1" applyAlignment="1" applyProtection="1">
      <alignment horizontal="center" vertical="top" wrapText="1" shrinkToFit="1"/>
      <protection locked="0"/>
    </xf>
    <xf numFmtId="0" fontId="4" fillId="0" borderId="70" xfId="0" applyFont="1" applyFill="1" applyBorder="1" applyAlignment="1" applyProtection="1">
      <alignment vertical="top" wrapText="1" readingOrder="1"/>
      <protection locked="0"/>
    </xf>
    <xf numFmtId="0" fontId="4" fillId="0" borderId="74" xfId="0" applyFont="1" applyFill="1" applyBorder="1" applyAlignment="1" applyProtection="1">
      <alignment vertical="top" wrapText="1" readingOrder="1"/>
      <protection locked="0"/>
    </xf>
    <xf numFmtId="0" fontId="7" fillId="0" borderId="74" xfId="0" applyFont="1" applyFill="1" applyBorder="1" applyAlignment="1" applyProtection="1">
      <alignment horizontal="center" vertical="top" wrapText="1" readingOrder="1"/>
      <protection locked="0"/>
    </xf>
    <xf numFmtId="0" fontId="7" fillId="0" borderId="6" xfId="0" applyFont="1" applyFill="1" applyBorder="1" applyAlignment="1" applyProtection="1">
      <alignment horizontal="center" vertical="top" wrapText="1" readingOrder="1"/>
      <protection locked="0"/>
    </xf>
    <xf numFmtId="0" fontId="7" fillId="0" borderId="1" xfId="0" applyFont="1" applyFill="1" applyBorder="1" applyAlignment="1" applyProtection="1">
      <alignment horizontal="center" vertical="top" wrapText="1" readingOrder="1"/>
      <protection locked="0"/>
    </xf>
    <xf numFmtId="0" fontId="4" fillId="0" borderId="16" xfId="0" applyFont="1" applyFill="1" applyBorder="1" applyAlignment="1" applyProtection="1">
      <alignment horizontal="center" vertical="top" wrapText="1" readingOrder="1"/>
      <protection locked="0"/>
    </xf>
    <xf numFmtId="49" fontId="4" fillId="0" borderId="11" xfId="0" applyNumberFormat="1" applyFont="1" applyFill="1" applyBorder="1" applyAlignment="1" applyProtection="1">
      <alignment horizontal="center" vertical="top" wrapText="1" readingOrder="1"/>
      <protection locked="0"/>
    </xf>
    <xf numFmtId="49" fontId="7" fillId="0" borderId="7" xfId="0" applyNumberFormat="1" applyFont="1" applyFill="1" applyBorder="1" applyAlignment="1" applyProtection="1">
      <alignment horizontal="center" vertical="top" wrapText="1" readingOrder="1"/>
      <protection locked="0"/>
    </xf>
    <xf numFmtId="0" fontId="7" fillId="0" borderId="2" xfId="0" applyFont="1" applyFill="1" applyBorder="1" applyAlignment="1" applyProtection="1">
      <alignment horizontal="center" vertical="top" wrapText="1" readingOrder="1"/>
      <protection locked="0"/>
    </xf>
    <xf numFmtId="14" fontId="3" fillId="0" borderId="6" xfId="0" applyNumberFormat="1" applyFont="1" applyFill="1" applyBorder="1" applyAlignment="1" applyProtection="1">
      <alignment horizontal="center" vertical="top" wrapText="1" shrinkToFit="1"/>
      <protection locked="0"/>
    </xf>
    <xf numFmtId="14" fontId="3" fillId="0" borderId="1" xfId="0" applyNumberFormat="1" applyFont="1" applyFill="1" applyBorder="1" applyAlignment="1" applyProtection="1">
      <alignment horizontal="center" vertical="top" wrapText="1" shrinkToFit="1"/>
      <protection locked="0"/>
    </xf>
    <xf numFmtId="0" fontId="4" fillId="0" borderId="70" xfId="0" applyNumberFormat="1" applyFont="1" applyFill="1" applyBorder="1" applyAlignment="1" applyProtection="1">
      <alignment horizontal="center" vertical="top" wrapText="1" shrinkToFit="1"/>
      <protection locked="0"/>
    </xf>
    <xf numFmtId="0" fontId="7" fillId="0" borderId="86" xfId="0" applyFont="1" applyFill="1" applyBorder="1" applyAlignment="1" applyProtection="1">
      <alignment vertical="top" wrapText="1" readingOrder="1"/>
      <protection locked="0"/>
    </xf>
    <xf numFmtId="0" fontId="7" fillId="0" borderId="98" xfId="0" applyFont="1" applyFill="1" applyBorder="1" applyAlignment="1" applyProtection="1">
      <alignment vertical="top" wrapText="1" readingOrder="1"/>
      <protection locked="0"/>
    </xf>
    <xf numFmtId="0" fontId="7" fillId="0" borderId="98" xfId="0" applyFont="1" applyFill="1" applyBorder="1" applyAlignment="1" applyProtection="1">
      <alignment horizontal="center" vertical="top" wrapText="1" readingOrder="1"/>
      <protection locked="0"/>
    </xf>
    <xf numFmtId="164" fontId="7" fillId="0" borderId="98" xfId="0" applyNumberFormat="1" applyFont="1" applyFill="1" applyBorder="1" applyAlignment="1" applyProtection="1">
      <alignment vertical="top" wrapText="1" readingOrder="1"/>
      <protection locked="0"/>
    </xf>
    <xf numFmtId="49" fontId="7" fillId="0" borderId="4" xfId="0" applyNumberFormat="1" applyFont="1" applyFill="1" applyBorder="1" applyAlignment="1" applyProtection="1">
      <alignment horizontal="center" vertical="top" wrapText="1" readingOrder="1"/>
      <protection locked="0"/>
    </xf>
    <xf numFmtId="0" fontId="7" fillId="0" borderId="17" xfId="0" applyFont="1" applyFill="1" applyBorder="1" applyAlignment="1" applyProtection="1">
      <alignment vertical="top" wrapText="1" readingOrder="1"/>
      <protection locked="0"/>
    </xf>
    <xf numFmtId="0" fontId="9" fillId="0" borderId="64" xfId="0" applyNumberFormat="1" applyFont="1" applyFill="1" applyBorder="1" applyAlignment="1" applyProtection="1">
      <alignment horizontal="center" vertical="center" wrapText="1" shrinkToFit="1"/>
      <protection locked="0"/>
    </xf>
    <xf numFmtId="0" fontId="7" fillId="0" borderId="92" xfId="0" applyFont="1" applyFill="1" applyBorder="1" applyAlignment="1" applyProtection="1">
      <alignment vertical="top" wrapText="1" readingOrder="1"/>
      <protection locked="0"/>
    </xf>
    <xf numFmtId="49" fontId="7" fillId="0" borderId="92" xfId="0" applyNumberFormat="1" applyFont="1" applyFill="1" applyBorder="1" applyAlignment="1" applyProtection="1">
      <alignment horizontal="center" vertical="top" wrapText="1" readingOrder="1"/>
      <protection locked="0"/>
    </xf>
    <xf numFmtId="0" fontId="10" fillId="0" borderId="92" xfId="0" applyNumberFormat="1" applyFont="1" applyFill="1" applyBorder="1" applyAlignment="1" applyProtection="1">
      <alignment horizontal="center" vertical="top" wrapText="1"/>
    </xf>
    <xf numFmtId="0" fontId="4" fillId="0" borderId="92" xfId="0" applyNumberFormat="1" applyFont="1" applyFill="1" applyBorder="1" applyAlignment="1" applyProtection="1">
      <alignment horizontal="center" vertical="top" wrapText="1" shrinkToFit="1"/>
      <protection locked="0"/>
    </xf>
    <xf numFmtId="164" fontId="7" fillId="0" borderId="92" xfId="0" applyNumberFormat="1" applyFont="1" applyFill="1" applyBorder="1" applyAlignment="1" applyProtection="1">
      <alignment vertical="top" wrapText="1" readingOrder="1"/>
      <protection locked="0"/>
    </xf>
    <xf numFmtId="0" fontId="6" fillId="0" borderId="4" xfId="0" applyNumberFormat="1" applyFont="1" applyFill="1" applyBorder="1" applyAlignment="1" applyProtection="1">
      <alignment horizontal="center" vertical="top" wrapText="1" shrinkToFit="1"/>
      <protection locked="0"/>
    </xf>
    <xf numFmtId="0" fontId="4" fillId="0" borderId="89" xfId="0" applyFont="1" applyFill="1" applyBorder="1" applyAlignment="1" applyProtection="1">
      <alignment vertical="top" wrapText="1" readingOrder="1"/>
      <protection locked="0"/>
    </xf>
    <xf numFmtId="0" fontId="6" fillId="0" borderId="64" xfId="0" applyNumberFormat="1" applyFont="1" applyFill="1" applyBorder="1" applyAlignment="1" applyProtection="1">
      <alignment horizontal="center" vertical="top" wrapText="1" shrinkToFit="1" readingOrder="1"/>
      <protection locked="0"/>
    </xf>
    <xf numFmtId="0" fontId="4" fillId="0" borderId="9" xfId="0" applyNumberFormat="1" applyFont="1" applyFill="1" applyBorder="1" applyAlignment="1" applyProtection="1">
      <alignment horizontal="center" vertical="top" wrapText="1" shrinkToFit="1"/>
      <protection locked="0"/>
    </xf>
    <xf numFmtId="0" fontId="3" fillId="0" borderId="55" xfId="0" applyNumberFormat="1" applyFont="1" applyFill="1" applyBorder="1" applyAlignment="1" applyProtection="1">
      <alignment vertical="top" wrapText="1" shrinkToFit="1"/>
      <protection locked="0"/>
    </xf>
    <xf numFmtId="0" fontId="4" fillId="0" borderId="74" xfId="0" applyFont="1" applyFill="1" applyBorder="1" applyAlignment="1" applyProtection="1">
      <alignment horizontal="center" vertical="top" wrapText="1" readingOrder="1"/>
      <protection locked="0"/>
    </xf>
    <xf numFmtId="0" fontId="4" fillId="0" borderId="89" xfId="0" applyFont="1" applyFill="1" applyBorder="1" applyAlignment="1" applyProtection="1">
      <alignment horizontal="center" vertical="top" wrapText="1" readingOrder="1"/>
      <protection locked="0"/>
    </xf>
    <xf numFmtId="164" fontId="4" fillId="0" borderId="99" xfId="0" applyNumberFormat="1" applyFont="1" applyFill="1" applyBorder="1" applyAlignment="1" applyProtection="1">
      <alignment vertical="top" wrapText="1" readingOrder="1"/>
      <protection locked="0"/>
    </xf>
    <xf numFmtId="0" fontId="6" fillId="0" borderId="64" xfId="0" applyNumberFormat="1" applyFont="1" applyFill="1" applyBorder="1" applyAlignment="1" applyProtection="1">
      <alignment horizontal="center" vertical="center" wrapText="1" shrinkToFit="1" readingOrder="1"/>
      <protection locked="0"/>
    </xf>
    <xf numFmtId="49" fontId="7" fillId="0" borderId="64" xfId="0" applyNumberFormat="1" applyFont="1" applyFill="1" applyBorder="1" applyAlignment="1" applyProtection="1">
      <alignment horizontal="center" vertical="top" wrapText="1" readingOrder="1"/>
      <protection locked="0"/>
    </xf>
    <xf numFmtId="49" fontId="7" fillId="0" borderId="98" xfId="0" applyNumberFormat="1" applyFont="1" applyFill="1" applyBorder="1" applyAlignment="1" applyProtection="1">
      <alignment horizontal="center" vertical="top" wrapText="1" readingOrder="1"/>
      <protection locked="0"/>
    </xf>
    <xf numFmtId="0" fontId="7" fillId="0" borderId="100" xfId="0" applyFont="1" applyFill="1" applyBorder="1" applyAlignment="1" applyProtection="1">
      <alignment horizontal="center" vertical="top" wrapText="1" readingOrder="1"/>
      <protection locked="0"/>
    </xf>
    <xf numFmtId="0" fontId="7" fillId="0" borderId="89" xfId="0" applyFont="1" applyFill="1" applyBorder="1" applyAlignment="1" applyProtection="1">
      <alignment vertical="top" wrapText="1" readingOrder="1"/>
      <protection locked="0"/>
    </xf>
    <xf numFmtId="0" fontId="4" fillId="0" borderId="101" xfId="0" applyFont="1" applyFill="1" applyBorder="1" applyAlignment="1" applyProtection="1">
      <alignment vertical="top" wrapText="1" readingOrder="1"/>
      <protection locked="0"/>
    </xf>
    <xf numFmtId="0" fontId="4" fillId="0" borderId="102" xfId="0" applyFont="1" applyFill="1" applyBorder="1" applyAlignment="1" applyProtection="1">
      <alignment vertical="top" wrapText="1" readingOrder="1"/>
      <protection locked="0"/>
    </xf>
    <xf numFmtId="166" fontId="4" fillId="0" borderId="5" xfId="0" applyNumberFormat="1" applyFont="1" applyFill="1" applyBorder="1" applyAlignment="1" applyProtection="1">
      <alignment horizontal="right" vertical="top" wrapText="1" readingOrder="1"/>
      <protection locked="0"/>
    </xf>
    <xf numFmtId="49" fontId="4" fillId="0" borderId="103" xfId="0" applyNumberFormat="1" applyFont="1" applyFill="1" applyBorder="1" applyAlignment="1" applyProtection="1">
      <alignment horizontal="center" vertical="top" wrapText="1" readingOrder="1"/>
      <protection locked="0"/>
    </xf>
    <xf numFmtId="49" fontId="4" fillId="0" borderId="73" xfId="0" applyNumberFormat="1" applyFont="1" applyFill="1" applyBorder="1" applyAlignment="1" applyProtection="1">
      <alignment horizontal="center" vertical="top" wrapText="1" readingOrder="1"/>
      <protection locked="0"/>
    </xf>
    <xf numFmtId="49" fontId="4" fillId="0" borderId="104" xfId="0" applyNumberFormat="1" applyFont="1" applyFill="1" applyBorder="1" applyAlignment="1" applyProtection="1">
      <alignment horizontal="center" vertical="top" wrapText="1" readingOrder="1"/>
      <protection locked="0"/>
    </xf>
    <xf numFmtId="49" fontId="4" fillId="0" borderId="80" xfId="0" applyNumberFormat="1" applyFont="1" applyFill="1" applyBorder="1" applyAlignment="1" applyProtection="1">
      <alignment horizontal="center" vertical="top" wrapText="1" readingOrder="1"/>
      <protection locked="0"/>
    </xf>
    <xf numFmtId="0" fontId="4" fillId="0" borderId="108" xfId="0" applyFont="1" applyFill="1" applyBorder="1" applyAlignment="1" applyProtection="1">
      <alignment vertical="top" wrapText="1" readingOrder="1"/>
      <protection locked="0"/>
    </xf>
    <xf numFmtId="0" fontId="4" fillId="0" borderId="107" xfId="0" applyFont="1" applyFill="1" applyBorder="1" applyAlignment="1" applyProtection="1">
      <alignment horizontal="center" vertical="top" wrapText="1" readingOrder="1"/>
      <protection locked="0"/>
    </xf>
    <xf numFmtId="49" fontId="4" fillId="0" borderId="110" xfId="0" applyNumberFormat="1" applyFont="1" applyFill="1" applyBorder="1" applyAlignment="1" applyProtection="1">
      <alignment horizontal="center" vertical="top" wrapText="1" readingOrder="1"/>
      <protection locked="0"/>
    </xf>
    <xf numFmtId="49" fontId="4" fillId="0" borderId="111" xfId="0" applyNumberFormat="1" applyFont="1" applyFill="1" applyBorder="1" applyAlignment="1" applyProtection="1">
      <alignment horizontal="center" vertical="top" wrapText="1" readingOrder="1"/>
      <protection locked="0"/>
    </xf>
    <xf numFmtId="49" fontId="4" fillId="0" borderId="108" xfId="0" applyNumberFormat="1" applyFont="1" applyFill="1" applyBorder="1" applyAlignment="1" applyProtection="1">
      <alignment horizontal="center" vertical="top" wrapText="1" readingOrder="1"/>
      <protection locked="0"/>
    </xf>
    <xf numFmtId="166" fontId="4" fillId="0" borderId="1" xfId="0" applyNumberFormat="1" applyFont="1" applyFill="1" applyBorder="1" applyAlignment="1" applyProtection="1">
      <alignment horizontal="right" vertical="top" wrapText="1" readingOrder="1"/>
      <protection locked="0"/>
    </xf>
    <xf numFmtId="0" fontId="7" fillId="0" borderId="114" xfId="0" applyFont="1" applyFill="1" applyBorder="1" applyAlignment="1" applyProtection="1">
      <alignment vertical="top" wrapText="1" readingOrder="1"/>
      <protection locked="0"/>
    </xf>
    <xf numFmtId="0" fontId="7" fillId="0" borderId="117" xfId="0" applyFont="1" applyFill="1" applyBorder="1" applyAlignment="1" applyProtection="1">
      <alignment horizontal="center" vertical="top" wrapText="1" readingOrder="1"/>
      <protection locked="0"/>
    </xf>
    <xf numFmtId="164" fontId="4" fillId="0" borderId="117" xfId="0" applyNumberFormat="1" applyFont="1" applyFill="1" applyBorder="1" applyAlignment="1" applyProtection="1">
      <alignment vertical="top" wrapText="1" readingOrder="1"/>
      <protection locked="0"/>
    </xf>
    <xf numFmtId="49" fontId="7" fillId="0" borderId="117" xfId="0" applyNumberFormat="1" applyFont="1" applyFill="1" applyBorder="1" applyAlignment="1" applyProtection="1">
      <alignment horizontal="center" vertical="top" wrapText="1" readingOrder="1"/>
      <protection locked="0"/>
    </xf>
    <xf numFmtId="0" fontId="6" fillId="0" borderId="112" xfId="0" applyNumberFormat="1" applyFont="1" applyFill="1" applyBorder="1" applyAlignment="1" applyProtection="1">
      <alignment horizontal="center" vertical="top" wrapText="1" shrinkToFit="1"/>
      <protection locked="0"/>
    </xf>
    <xf numFmtId="0" fontId="7" fillId="0" borderId="117" xfId="0" applyFont="1" applyFill="1" applyBorder="1" applyAlignment="1" applyProtection="1">
      <alignment vertical="top" wrapText="1" readingOrder="1"/>
      <protection locked="0"/>
    </xf>
    <xf numFmtId="0" fontId="4" fillId="0" borderId="117" xfId="0" applyFont="1" applyFill="1" applyBorder="1" applyAlignment="1" applyProtection="1">
      <alignment vertical="top" wrapText="1" readingOrder="1"/>
      <protection locked="0"/>
    </xf>
    <xf numFmtId="0" fontId="6" fillId="0" borderId="62" xfId="0" applyNumberFormat="1" applyFont="1" applyFill="1" applyBorder="1" applyAlignment="1" applyProtection="1">
      <alignment horizontal="center" vertical="center" wrapText="1" shrinkToFit="1"/>
      <protection locked="0"/>
    </xf>
    <xf numFmtId="0" fontId="7" fillId="0" borderId="112" xfId="0" applyFont="1" applyFill="1" applyBorder="1" applyAlignment="1" applyProtection="1">
      <alignment horizontal="center" vertical="top" wrapText="1" readingOrder="1"/>
      <protection locked="0"/>
    </xf>
    <xf numFmtId="0" fontId="6" fillId="0" borderId="112" xfId="0" applyNumberFormat="1" applyFont="1" applyFill="1" applyBorder="1" applyAlignment="1" applyProtection="1">
      <alignment horizontal="center" vertical="center" wrapText="1" shrinkToFit="1"/>
      <protection locked="0"/>
    </xf>
    <xf numFmtId="0" fontId="6" fillId="0" borderId="117" xfId="0" applyNumberFormat="1" applyFont="1" applyFill="1" applyBorder="1" applyAlignment="1" applyProtection="1">
      <alignment vertical="top" wrapText="1"/>
    </xf>
    <xf numFmtId="0" fontId="4" fillId="0" borderId="117" xfId="0" applyNumberFormat="1" applyFont="1" applyFill="1" applyBorder="1" applyAlignment="1" applyProtection="1">
      <alignment vertical="top" wrapText="1" shrinkToFit="1"/>
      <protection locked="0"/>
    </xf>
    <xf numFmtId="0" fontId="6" fillId="0" borderId="62" xfId="0" applyNumberFormat="1" applyFont="1" applyFill="1" applyBorder="1" applyAlignment="1" applyProtection="1">
      <alignment vertical="top" wrapText="1"/>
    </xf>
    <xf numFmtId="14" fontId="4" fillId="0" borderId="1" xfId="0" applyNumberFormat="1" applyFont="1" applyFill="1" applyBorder="1" applyAlignment="1" applyProtection="1">
      <alignment horizontal="center" vertical="top" wrapText="1" shrinkToFit="1"/>
      <protection locked="0"/>
    </xf>
    <xf numFmtId="0" fontId="4" fillId="0" borderId="1" xfId="0" applyFont="1" applyFill="1" applyBorder="1" applyAlignment="1" applyProtection="1">
      <alignment horizontal="center" vertical="top" wrapText="1" readingOrder="1"/>
      <protection locked="0"/>
    </xf>
    <xf numFmtId="0" fontId="4" fillId="0" borderId="1" xfId="0" applyFont="1" applyFill="1" applyBorder="1" applyAlignment="1" applyProtection="1">
      <alignment horizontal="left" vertical="top" wrapText="1" readingOrder="1"/>
      <protection locked="0"/>
    </xf>
    <xf numFmtId="0" fontId="4" fillId="0" borderId="118" xfId="0" applyFont="1" applyFill="1" applyBorder="1" applyAlignment="1" applyProtection="1">
      <alignment vertical="top" wrapText="1" readingOrder="1"/>
      <protection locked="0"/>
    </xf>
    <xf numFmtId="0" fontId="4" fillId="0" borderId="118" xfId="0" applyNumberFormat="1" applyFont="1" applyFill="1" applyBorder="1" applyAlignment="1" applyProtection="1">
      <alignment horizontal="center" vertical="top" wrapText="1" shrinkToFit="1"/>
      <protection locked="0"/>
    </xf>
    <xf numFmtId="0" fontId="6" fillId="0" borderId="2" xfId="0" applyNumberFormat="1" applyFont="1" applyFill="1" applyBorder="1" applyAlignment="1" applyProtection="1">
      <alignment horizontal="center" vertical="top" wrapText="1"/>
    </xf>
    <xf numFmtId="0" fontId="7" fillId="0" borderId="64" xfId="0" applyFont="1" applyFill="1" applyBorder="1" applyAlignment="1" applyProtection="1">
      <alignment horizontal="center" vertical="top" wrapText="1" readingOrder="1"/>
      <protection locked="0"/>
    </xf>
    <xf numFmtId="49" fontId="4" fillId="0" borderId="2" xfId="0" applyNumberFormat="1" applyFont="1" applyFill="1" applyBorder="1" applyAlignment="1" applyProtection="1">
      <alignment horizontal="center" vertical="top" wrapText="1" readingOrder="1"/>
      <protection locked="0"/>
    </xf>
    <xf numFmtId="0" fontId="4" fillId="0" borderId="120" xfId="0" applyFont="1" applyFill="1" applyBorder="1" applyAlignment="1" applyProtection="1">
      <alignment vertical="top" wrapText="1" readingOrder="1"/>
      <protection locked="0"/>
    </xf>
    <xf numFmtId="49" fontId="4" fillId="0" borderId="120" xfId="0" applyNumberFormat="1" applyFont="1" applyFill="1" applyBorder="1" applyAlignment="1" applyProtection="1">
      <alignment horizontal="center" vertical="top" wrapText="1" readingOrder="1"/>
      <protection locked="0"/>
    </xf>
    <xf numFmtId="49" fontId="4" fillId="0" borderId="64" xfId="0" applyNumberFormat="1" applyFont="1" applyFill="1" applyBorder="1" applyAlignment="1" applyProtection="1">
      <alignment vertical="top" wrapText="1" readingOrder="1"/>
      <protection locked="0"/>
    </xf>
    <xf numFmtId="0" fontId="4" fillId="0" borderId="64" xfId="0" applyFont="1" applyFill="1" applyBorder="1" applyAlignment="1" applyProtection="1">
      <alignment horizontal="center" vertical="center" wrapText="1" readingOrder="1"/>
      <protection locked="0"/>
    </xf>
    <xf numFmtId="14" fontId="4" fillId="0" borderId="64" xfId="0" applyNumberFormat="1" applyFont="1" applyFill="1" applyBorder="1" applyAlignment="1" applyProtection="1">
      <alignment vertical="top" wrapText="1" shrinkToFit="1"/>
      <protection locked="0"/>
    </xf>
    <xf numFmtId="0" fontId="4" fillId="0" borderId="67" xfId="0" applyNumberFormat="1" applyFont="1" applyFill="1" applyBorder="1" applyAlignment="1" applyProtection="1">
      <alignment horizontal="center" vertical="top" wrapText="1" shrinkToFit="1"/>
      <protection locked="0"/>
    </xf>
    <xf numFmtId="0" fontId="4" fillId="0" borderId="61" xfId="0" applyNumberFormat="1" applyFont="1" applyFill="1" applyBorder="1" applyAlignment="1" applyProtection="1">
      <alignment horizontal="center" vertical="top" wrapText="1" shrinkToFit="1"/>
      <protection locked="0"/>
    </xf>
    <xf numFmtId="14" fontId="4" fillId="0" borderId="67" xfId="0" applyNumberFormat="1" applyFont="1" applyFill="1" applyBorder="1" applyAlignment="1" applyProtection="1">
      <alignment horizontal="center" vertical="top" wrapText="1" shrinkToFit="1"/>
      <protection locked="0"/>
    </xf>
    <xf numFmtId="4" fontId="4" fillId="0" borderId="120" xfId="0" applyNumberFormat="1" applyFont="1" applyFill="1" applyBorder="1" applyAlignment="1" applyProtection="1">
      <alignment vertical="top" wrapText="1" readingOrder="1"/>
      <protection locked="0"/>
    </xf>
    <xf numFmtId="164" fontId="4" fillId="0" borderId="120" xfId="0" applyNumberFormat="1" applyFont="1" applyFill="1" applyBorder="1" applyAlignment="1" applyProtection="1">
      <alignment vertical="top" wrapText="1" readingOrder="1"/>
      <protection locked="0"/>
    </xf>
    <xf numFmtId="166" fontId="4" fillId="0" borderId="120" xfId="0" applyNumberFormat="1" applyFont="1" applyFill="1" applyBorder="1" applyAlignment="1" applyProtection="1">
      <alignment vertical="top" wrapText="1" readingOrder="1"/>
      <protection locked="0"/>
    </xf>
    <xf numFmtId="0" fontId="7" fillId="0" borderId="119" xfId="0" applyFont="1" applyFill="1" applyBorder="1" applyAlignment="1" applyProtection="1">
      <alignment vertical="top" wrapText="1" readingOrder="1"/>
      <protection locked="0"/>
    </xf>
    <xf numFmtId="49" fontId="7" fillId="0" borderId="9" xfId="0" applyNumberFormat="1" applyFont="1" applyFill="1" applyBorder="1" applyAlignment="1" applyProtection="1">
      <alignment horizontal="center" vertical="top" wrapText="1" readingOrder="1"/>
      <protection locked="0"/>
    </xf>
    <xf numFmtId="49" fontId="7" fillId="0" borderId="120" xfId="0" applyNumberFormat="1" applyFont="1" applyFill="1" applyBorder="1" applyAlignment="1" applyProtection="1">
      <alignment horizontal="center" vertical="top" wrapText="1" readingOrder="1"/>
      <protection locked="0"/>
    </xf>
    <xf numFmtId="0" fontId="4" fillId="0" borderId="86" xfId="0" applyNumberFormat="1" applyFont="1" applyFill="1" applyBorder="1" applyAlignment="1" applyProtection="1">
      <alignment vertical="top" wrapText="1" shrinkToFit="1" readingOrder="1"/>
      <protection locked="0"/>
    </xf>
    <xf numFmtId="0" fontId="4" fillId="0" borderId="86" xfId="0" applyNumberFormat="1" applyFont="1" applyFill="1" applyBorder="1" applyAlignment="1" applyProtection="1">
      <alignment vertical="top" wrapText="1" shrinkToFit="1"/>
      <protection locked="0"/>
    </xf>
    <xf numFmtId="14" fontId="4" fillId="0" borderId="86" xfId="0" applyNumberFormat="1" applyFont="1" applyFill="1" applyBorder="1" applyAlignment="1" applyProtection="1">
      <alignment horizontal="center" vertical="top" wrapText="1" shrinkToFit="1"/>
      <protection locked="0"/>
    </xf>
    <xf numFmtId="0" fontId="7" fillId="0" borderId="120" xfId="0" applyFont="1" applyFill="1" applyBorder="1" applyAlignment="1" applyProtection="1">
      <alignment vertical="top" wrapText="1" readingOrder="1"/>
      <protection locked="0"/>
    </xf>
    <xf numFmtId="164" fontId="7" fillId="0" borderId="122" xfId="0" applyNumberFormat="1" applyFont="1" applyFill="1" applyBorder="1" applyAlignment="1" applyProtection="1">
      <alignment vertical="top" wrapText="1" readingOrder="1"/>
      <protection locked="0"/>
    </xf>
    <xf numFmtId="0" fontId="7" fillId="0" borderId="55" xfId="0" applyFont="1" applyFill="1" applyBorder="1" applyAlignment="1" applyProtection="1">
      <alignment vertical="top" wrapText="1" readingOrder="1"/>
      <protection locked="0"/>
    </xf>
    <xf numFmtId="164" fontId="7" fillId="0" borderId="65" xfId="0" applyNumberFormat="1" applyFont="1" applyFill="1" applyBorder="1" applyAlignment="1" applyProtection="1">
      <alignment vertical="top" wrapText="1" readingOrder="1"/>
      <protection locked="0"/>
    </xf>
    <xf numFmtId="0" fontId="6" fillId="0" borderId="64" xfId="0" applyNumberFormat="1" applyFont="1" applyFill="1" applyBorder="1" applyAlignment="1" applyProtection="1">
      <alignment horizontal="center" vertical="top" wrapText="1" readingOrder="1"/>
    </xf>
    <xf numFmtId="164" fontId="4" fillId="0" borderId="123" xfId="0" applyNumberFormat="1" applyFont="1" applyFill="1" applyBorder="1" applyAlignment="1" applyProtection="1">
      <alignment vertical="top" wrapText="1" readingOrder="1"/>
      <protection locked="0"/>
    </xf>
    <xf numFmtId="0" fontId="4" fillId="0" borderId="122" xfId="0" applyFont="1" applyFill="1" applyBorder="1" applyAlignment="1" applyProtection="1">
      <alignment horizontal="center" vertical="top" wrapText="1" readingOrder="1"/>
      <protection locked="0"/>
    </xf>
    <xf numFmtId="0" fontId="4" fillId="0" borderId="122" xfId="0" applyFont="1" applyFill="1" applyBorder="1" applyAlignment="1" applyProtection="1">
      <alignment vertical="top" wrapText="1" readingOrder="1"/>
      <protection locked="0"/>
    </xf>
    <xf numFmtId="165" fontId="4" fillId="0" borderId="120" xfId="0" applyNumberFormat="1" applyFont="1" applyFill="1" applyBorder="1" applyAlignment="1" applyProtection="1">
      <alignment vertical="top" wrapText="1" readingOrder="1"/>
      <protection locked="0"/>
    </xf>
    <xf numFmtId="0" fontId="4" fillId="0" borderId="124" xfId="0" applyFont="1" applyFill="1" applyBorder="1" applyAlignment="1" applyProtection="1">
      <alignment vertical="top" wrapText="1" readingOrder="1"/>
      <protection locked="0"/>
    </xf>
    <xf numFmtId="49" fontId="4" fillId="0" borderId="124" xfId="0" applyNumberFormat="1" applyFont="1" applyFill="1" applyBorder="1" applyAlignment="1" applyProtection="1">
      <alignment horizontal="center" vertical="top" wrapText="1" readingOrder="1"/>
      <protection locked="0"/>
    </xf>
    <xf numFmtId="164" fontId="4" fillId="0" borderId="124" xfId="0" applyNumberFormat="1" applyFont="1" applyFill="1" applyBorder="1" applyAlignment="1" applyProtection="1">
      <alignment vertical="top" wrapText="1" readingOrder="1"/>
      <protection locked="0"/>
    </xf>
    <xf numFmtId="0" fontId="7" fillId="0" borderId="120" xfId="0" applyFont="1" applyFill="1" applyBorder="1" applyAlignment="1" applyProtection="1">
      <alignment horizontal="center" vertical="top" wrapText="1" readingOrder="1"/>
      <protection locked="0"/>
    </xf>
    <xf numFmtId="0" fontId="7" fillId="0" borderId="122" xfId="0" applyFont="1" applyFill="1" applyBorder="1" applyAlignment="1" applyProtection="1">
      <alignment horizontal="center" vertical="top" wrapText="1" readingOrder="1"/>
      <protection locked="0"/>
    </xf>
    <xf numFmtId="49" fontId="7" fillId="0" borderId="119" xfId="0" applyNumberFormat="1" applyFont="1" applyFill="1" applyBorder="1" applyAlignment="1" applyProtection="1">
      <alignment horizontal="center" vertical="top" wrapText="1" readingOrder="1"/>
      <protection locked="0"/>
    </xf>
    <xf numFmtId="0" fontId="7" fillId="0" borderId="119" xfId="0" applyFont="1" applyFill="1" applyBorder="1" applyAlignment="1" applyProtection="1">
      <alignment horizontal="center" vertical="top" wrapText="1" readingOrder="1"/>
      <protection locked="0"/>
    </xf>
    <xf numFmtId="0" fontId="3" fillId="0" borderId="119" xfId="0" applyNumberFormat="1" applyFont="1" applyFill="1" applyBorder="1" applyAlignment="1" applyProtection="1">
      <alignment horizontal="center" vertical="center" wrapText="1" shrinkToFit="1"/>
      <protection locked="0"/>
    </xf>
    <xf numFmtId="14" fontId="3" fillId="0" borderId="119" xfId="0" applyNumberFormat="1" applyFont="1" applyFill="1" applyBorder="1" applyAlignment="1" applyProtection="1">
      <alignment horizontal="center" vertical="center" wrapText="1" shrinkToFit="1"/>
      <protection locked="0"/>
    </xf>
    <xf numFmtId="0" fontId="4" fillId="0" borderId="119" xfId="0" applyNumberFormat="1" applyFont="1" applyFill="1" applyBorder="1" applyAlignment="1" applyProtection="1">
      <alignment horizontal="center" vertical="top" wrapText="1" shrinkToFit="1"/>
      <protection locked="0"/>
    </xf>
    <xf numFmtId="164" fontId="7" fillId="0" borderId="119" xfId="0" applyNumberFormat="1" applyFont="1" applyFill="1" applyBorder="1" applyAlignment="1" applyProtection="1">
      <alignment vertical="top" wrapText="1" readingOrder="1"/>
      <protection locked="0"/>
    </xf>
    <xf numFmtId="0" fontId="3" fillId="0" borderId="119" xfId="0" applyNumberFormat="1" applyFont="1" applyFill="1" applyBorder="1" applyAlignment="1" applyProtection="1">
      <alignment horizontal="center" vertical="top" wrapText="1" shrinkToFit="1"/>
      <protection locked="0"/>
    </xf>
    <xf numFmtId="0" fontId="4" fillId="0" borderId="119" xfId="1" applyNumberFormat="1" applyFont="1" applyFill="1" applyBorder="1" applyAlignment="1">
      <alignment horizontal="center" vertical="top" wrapText="1"/>
    </xf>
    <xf numFmtId="0" fontId="6" fillId="0" borderId="124" xfId="0" applyNumberFormat="1" applyFont="1" applyFill="1" applyBorder="1" applyAlignment="1" applyProtection="1">
      <alignment horizontal="center" vertical="top" wrapText="1"/>
    </xf>
    <xf numFmtId="0" fontId="4" fillId="0" borderId="124" xfId="1" applyNumberFormat="1" applyFont="1" applyFill="1" applyBorder="1" applyAlignment="1">
      <alignment horizontal="center" vertical="top" wrapText="1"/>
    </xf>
    <xf numFmtId="0" fontId="4" fillId="0" borderId="124" xfId="0" applyNumberFormat="1" applyFont="1" applyFill="1" applyBorder="1" applyAlignment="1" applyProtection="1">
      <alignment horizontal="center" vertical="top" wrapText="1" shrinkToFit="1"/>
      <protection locked="0"/>
    </xf>
    <xf numFmtId="0" fontId="7" fillId="0" borderId="124" xfId="0" applyFont="1" applyFill="1" applyBorder="1" applyAlignment="1" applyProtection="1">
      <alignment horizontal="center" vertical="top" wrapText="1" readingOrder="1"/>
      <protection locked="0"/>
    </xf>
    <xf numFmtId="0" fontId="4" fillId="0" borderId="125" xfId="0" applyNumberFormat="1" applyFont="1" applyFill="1" applyBorder="1" applyAlignment="1" applyProtection="1">
      <alignment horizontal="center" vertical="top" wrapText="1" shrinkToFit="1"/>
      <protection locked="0"/>
    </xf>
    <xf numFmtId="0" fontId="4" fillId="0" borderId="126" xfId="0" applyFont="1" applyFill="1" applyBorder="1" applyAlignment="1" applyProtection="1">
      <alignment horizontal="center" vertical="top" wrapText="1" readingOrder="1"/>
      <protection locked="0"/>
    </xf>
    <xf numFmtId="49" fontId="4" fillId="0" borderId="126" xfId="0" applyNumberFormat="1" applyFont="1" applyFill="1" applyBorder="1" applyAlignment="1" applyProtection="1">
      <alignment horizontal="center" vertical="top" wrapText="1" readingOrder="1"/>
      <protection locked="0"/>
    </xf>
    <xf numFmtId="166" fontId="4" fillId="0" borderId="126" xfId="0" applyNumberFormat="1" applyFont="1" applyFill="1" applyBorder="1" applyAlignment="1" applyProtection="1">
      <alignment vertical="top" wrapText="1" readingOrder="1"/>
      <protection locked="0"/>
    </xf>
    <xf numFmtId="166" fontId="4" fillId="0" borderId="127" xfId="0" applyNumberFormat="1" applyFont="1" applyFill="1" applyBorder="1" applyAlignment="1" applyProtection="1">
      <alignment vertical="top" wrapText="1" readingOrder="1"/>
      <protection locked="0"/>
    </xf>
    <xf numFmtId="166" fontId="4" fillId="0" borderId="124" xfId="0" applyNumberFormat="1" applyFont="1" applyFill="1" applyBorder="1" applyAlignment="1" applyProtection="1">
      <alignment vertical="top" wrapText="1" readingOrder="1"/>
      <protection locked="0"/>
    </xf>
    <xf numFmtId="0" fontId="7" fillId="0" borderId="125" xfId="0" applyFont="1" applyFill="1" applyBorder="1" applyAlignment="1" applyProtection="1">
      <alignment vertical="top" wrapText="1" readingOrder="1"/>
      <protection locked="0"/>
    </xf>
    <xf numFmtId="0" fontId="7" fillId="0" borderId="125" xfId="0" applyFont="1" applyFill="1" applyBorder="1" applyAlignment="1" applyProtection="1">
      <alignment horizontal="center" vertical="top" wrapText="1" readingOrder="1"/>
      <protection locked="0"/>
    </xf>
    <xf numFmtId="0" fontId="6" fillId="0" borderId="125" xfId="0" applyNumberFormat="1" applyFont="1" applyFill="1" applyBorder="1" applyAlignment="1" applyProtection="1">
      <alignment horizontal="center" vertical="top" wrapText="1"/>
    </xf>
    <xf numFmtId="0" fontId="4" fillId="0" borderId="125" xfId="1" applyNumberFormat="1" applyFont="1" applyFill="1" applyBorder="1" applyAlignment="1">
      <alignment horizontal="center" vertical="top" wrapText="1"/>
    </xf>
    <xf numFmtId="164" fontId="7" fillId="0" borderId="125" xfId="0" applyNumberFormat="1" applyFont="1" applyFill="1" applyBorder="1" applyAlignment="1" applyProtection="1">
      <alignment vertical="top" wrapText="1" readingOrder="1"/>
      <protection locked="0"/>
    </xf>
    <xf numFmtId="0" fontId="6" fillId="0" borderId="129" xfId="0" applyNumberFormat="1" applyFont="1" applyFill="1" applyBorder="1" applyAlignment="1" applyProtection="1">
      <alignment horizontal="center" vertical="top" wrapText="1"/>
    </xf>
    <xf numFmtId="0" fontId="4" fillId="0" borderId="129" xfId="0" applyFont="1" applyFill="1" applyBorder="1" applyAlignment="1" applyProtection="1">
      <alignment horizontal="center" vertical="top" wrapText="1" readingOrder="1"/>
      <protection locked="0"/>
    </xf>
    <xf numFmtId="0" fontId="7" fillId="0" borderId="61" xfId="0" applyFont="1" applyFill="1" applyBorder="1" applyAlignment="1" applyProtection="1">
      <alignment horizontal="center" vertical="top" wrapText="1" readingOrder="1"/>
      <protection locked="0"/>
    </xf>
    <xf numFmtId="164" fontId="4" fillId="0" borderId="129" xfId="0" applyNumberFormat="1" applyFont="1" applyFill="1" applyBorder="1" applyAlignment="1" applyProtection="1">
      <alignment vertical="top" wrapText="1" readingOrder="1"/>
      <protection locked="0"/>
    </xf>
    <xf numFmtId="0" fontId="6" fillId="0" borderId="64" xfId="0" applyNumberFormat="1" applyFont="1" applyFill="1" applyBorder="1" applyAlignment="1" applyProtection="1">
      <alignment vertical="top" wrapText="1"/>
    </xf>
    <xf numFmtId="14" fontId="4" fillId="0" borderId="124" xfId="0" applyNumberFormat="1" applyFont="1" applyFill="1" applyBorder="1" applyAlignment="1" applyProtection="1">
      <alignment horizontal="center" vertical="top" wrapText="1" shrinkToFit="1"/>
      <protection locked="0"/>
    </xf>
    <xf numFmtId="164" fontId="4" fillId="0" borderId="130" xfId="0" applyNumberFormat="1" applyFont="1" applyFill="1" applyBorder="1" applyAlignment="1" applyProtection="1">
      <alignment vertical="top" wrapText="1" readingOrder="1"/>
      <protection locked="0"/>
    </xf>
    <xf numFmtId="0" fontId="10" fillId="0" borderId="117" xfId="0" applyNumberFormat="1" applyFont="1" applyFill="1" applyBorder="1" applyAlignment="1" applyProtection="1">
      <alignment horizontal="center" vertical="top" wrapText="1"/>
    </xf>
    <xf numFmtId="0" fontId="7" fillId="0" borderId="133" xfId="0" applyFont="1" applyFill="1" applyBorder="1" applyAlignment="1" applyProtection="1">
      <alignment vertical="top" wrapText="1" readingOrder="1"/>
      <protection locked="0"/>
    </xf>
    <xf numFmtId="0" fontId="7" fillId="0" borderId="133" xfId="0" applyFont="1" applyFill="1" applyBorder="1" applyAlignment="1" applyProtection="1">
      <alignment horizontal="center" vertical="top" wrapText="1" readingOrder="1"/>
      <protection locked="0"/>
    </xf>
    <xf numFmtId="0" fontId="6" fillId="0" borderId="134" xfId="0" applyNumberFormat="1" applyFont="1" applyFill="1" applyBorder="1" applyAlignment="1" applyProtection="1">
      <alignment horizontal="center" vertical="top" wrapText="1" shrinkToFit="1"/>
      <protection locked="0"/>
    </xf>
    <xf numFmtId="14" fontId="6" fillId="0" borderId="134" xfId="0" applyNumberFormat="1" applyFont="1" applyFill="1" applyBorder="1" applyAlignment="1" applyProtection="1">
      <alignment horizontal="center" vertical="top" wrapText="1" shrinkToFit="1"/>
      <protection locked="0"/>
    </xf>
    <xf numFmtId="0" fontId="7" fillId="0" borderId="134" xfId="0" applyFont="1" applyFill="1" applyBorder="1" applyAlignment="1" applyProtection="1">
      <alignment horizontal="center" vertical="top" wrapText="1" readingOrder="1"/>
      <protection locked="0"/>
    </xf>
    <xf numFmtId="0" fontId="7" fillId="0" borderId="135" xfId="0" applyFont="1" applyFill="1" applyBorder="1" applyAlignment="1" applyProtection="1">
      <alignment horizontal="center" vertical="top" wrapText="1" readingOrder="1"/>
      <protection locked="0"/>
    </xf>
    <xf numFmtId="164" fontId="7" fillId="0" borderId="134" xfId="0" applyNumberFormat="1" applyFont="1" applyFill="1" applyBorder="1" applyAlignment="1" applyProtection="1">
      <alignment vertical="top" wrapText="1" readingOrder="1"/>
      <protection locked="0"/>
    </xf>
    <xf numFmtId="0" fontId="7" fillId="0" borderId="136" xfId="0" applyFont="1" applyFill="1" applyBorder="1" applyAlignment="1" applyProtection="1">
      <alignment vertical="top" wrapText="1" readingOrder="1"/>
      <protection locked="0"/>
    </xf>
    <xf numFmtId="0" fontId="7" fillId="0" borderId="136" xfId="0" applyFont="1" applyFill="1" applyBorder="1" applyAlignment="1" applyProtection="1">
      <alignment horizontal="center" vertical="top" wrapText="1" readingOrder="1"/>
      <protection locked="0"/>
    </xf>
    <xf numFmtId="164" fontId="7" fillId="0" borderId="136" xfId="0" applyNumberFormat="1" applyFont="1" applyFill="1" applyBorder="1" applyAlignment="1" applyProtection="1">
      <alignment vertical="top" wrapText="1" readingOrder="1"/>
      <protection locked="0"/>
    </xf>
    <xf numFmtId="164" fontId="7" fillId="0" borderId="132" xfId="0" applyNumberFormat="1" applyFont="1" applyFill="1" applyBorder="1" applyAlignment="1" applyProtection="1">
      <alignment vertical="top" wrapText="1" readingOrder="1"/>
      <protection locked="0"/>
    </xf>
    <xf numFmtId="49" fontId="7" fillId="0" borderId="134" xfId="0" applyNumberFormat="1" applyFont="1" applyFill="1" applyBorder="1" applyAlignment="1" applyProtection="1">
      <alignment horizontal="center" vertical="top" wrapText="1" readingOrder="1"/>
      <protection locked="0"/>
    </xf>
    <xf numFmtId="0" fontId="4" fillId="0" borderId="134" xfId="0" applyNumberFormat="1" applyFont="1" applyFill="1" applyBorder="1" applyAlignment="1" applyProtection="1">
      <alignment horizontal="center" vertical="top" wrapText="1" shrinkToFit="1"/>
      <protection locked="0"/>
    </xf>
    <xf numFmtId="14" fontId="4" fillId="0" borderId="134" xfId="0" applyNumberFormat="1" applyFont="1" applyFill="1" applyBorder="1" applyAlignment="1" applyProtection="1">
      <alignment horizontal="center" vertical="top" wrapText="1" shrinkToFit="1"/>
      <protection locked="0"/>
    </xf>
    <xf numFmtId="49" fontId="4" fillId="0" borderId="64" xfId="0" applyNumberFormat="1" applyFont="1" applyFill="1" applyBorder="1" applyAlignment="1">
      <alignment horizontal="center" vertical="top" wrapText="1"/>
    </xf>
    <xf numFmtId="0" fontId="7" fillId="0" borderId="136" xfId="0" applyNumberFormat="1" applyFont="1" applyFill="1" applyBorder="1" applyAlignment="1" applyProtection="1">
      <alignment vertical="top" wrapText="1" readingOrder="1"/>
      <protection locked="0"/>
    </xf>
    <xf numFmtId="0" fontId="3" fillId="0" borderId="136" xfId="0" applyNumberFormat="1" applyFont="1" applyFill="1" applyBorder="1" applyAlignment="1" applyProtection="1">
      <alignment horizontal="center" vertical="top" wrapText="1" shrinkToFit="1"/>
      <protection locked="0"/>
    </xf>
    <xf numFmtId="14" fontId="3" fillId="0" borderId="136" xfId="0" applyNumberFormat="1" applyFont="1" applyFill="1" applyBorder="1" applyAlignment="1" applyProtection="1">
      <alignment horizontal="center" vertical="top" wrapText="1" shrinkToFit="1"/>
      <protection locked="0"/>
    </xf>
    <xf numFmtId="0" fontId="6" fillId="0" borderId="136" xfId="0" applyNumberFormat="1" applyFont="1" applyFill="1" applyBorder="1" applyAlignment="1" applyProtection="1">
      <alignment horizontal="center" vertical="top" wrapText="1" shrinkToFit="1"/>
      <protection locked="0"/>
    </xf>
    <xf numFmtId="14" fontId="6" fillId="0" borderId="136" xfId="0" applyNumberFormat="1" applyFont="1" applyFill="1" applyBorder="1" applyAlignment="1" applyProtection="1">
      <alignment horizontal="center" vertical="top" wrapText="1" shrinkToFit="1"/>
      <protection locked="0"/>
    </xf>
    <xf numFmtId="164" fontId="4" fillId="0" borderId="133" xfId="0" applyNumberFormat="1" applyFont="1" applyFill="1" applyBorder="1" applyAlignment="1" applyProtection="1">
      <alignment vertical="top" wrapText="1" readingOrder="1"/>
      <protection locked="0"/>
    </xf>
    <xf numFmtId="0" fontId="3" fillId="0" borderId="133" xfId="0" applyNumberFormat="1" applyFont="1" applyFill="1" applyBorder="1" applyAlignment="1" applyProtection="1">
      <alignment vertical="top" wrapText="1" shrinkToFit="1"/>
      <protection locked="0"/>
    </xf>
    <xf numFmtId="49" fontId="4" fillId="0" borderId="133" xfId="0" applyNumberFormat="1" applyFont="1" applyFill="1" applyBorder="1" applyAlignment="1" applyProtection="1">
      <alignment horizontal="center" vertical="top" wrapText="1" readingOrder="1"/>
      <protection locked="0"/>
    </xf>
    <xf numFmtId="0" fontId="3" fillId="0" borderId="55" xfId="0" applyNumberFormat="1" applyFont="1" applyFill="1" applyBorder="1" applyAlignment="1" applyProtection="1">
      <alignment horizontal="center" vertical="top" wrapText="1" shrinkToFit="1"/>
      <protection locked="0"/>
    </xf>
    <xf numFmtId="166" fontId="4" fillId="0" borderId="117" xfId="0" applyNumberFormat="1" applyFont="1" applyFill="1" applyBorder="1" applyAlignment="1" applyProtection="1">
      <alignment vertical="top" wrapText="1" readingOrder="1"/>
      <protection locked="0"/>
    </xf>
    <xf numFmtId="164" fontId="4" fillId="0" borderId="137" xfId="0" applyNumberFormat="1" applyFont="1" applyFill="1" applyBorder="1" applyAlignment="1" applyProtection="1">
      <alignment vertical="top" wrapText="1" readingOrder="1"/>
      <protection locked="0"/>
    </xf>
    <xf numFmtId="14" fontId="4" fillId="0" borderId="124" xfId="0" applyNumberFormat="1" applyFont="1" applyFill="1" applyBorder="1" applyAlignment="1" applyProtection="1">
      <alignment horizontal="center" vertical="top" wrapText="1" readingOrder="1"/>
      <protection locked="0"/>
    </xf>
    <xf numFmtId="164" fontId="4" fillId="0" borderId="128" xfId="0" applyNumberFormat="1" applyFont="1" applyFill="1" applyBorder="1" applyAlignment="1" applyProtection="1">
      <alignment vertical="top" wrapText="1" readingOrder="1"/>
      <protection locked="0"/>
    </xf>
    <xf numFmtId="0" fontId="6" fillId="0" borderId="117" xfId="0" applyNumberFormat="1" applyFont="1" applyFill="1" applyBorder="1" applyAlignment="1" applyProtection="1">
      <alignment vertical="top" wrapText="1" shrinkToFit="1"/>
      <protection locked="0"/>
    </xf>
    <xf numFmtId="0" fontId="4" fillId="0" borderId="118" xfId="0" applyNumberFormat="1" applyFont="1" applyFill="1" applyBorder="1" applyAlignment="1" applyProtection="1">
      <alignment horizontal="center" vertical="center" wrapText="1" shrinkToFit="1"/>
      <protection locked="0"/>
    </xf>
    <xf numFmtId="0" fontId="4" fillId="0" borderId="121" xfId="0" applyNumberFormat="1" applyFont="1" applyFill="1" applyBorder="1" applyAlignment="1" applyProtection="1">
      <alignment horizontal="center" vertical="center" wrapText="1" shrinkToFit="1"/>
      <protection locked="0"/>
    </xf>
    <xf numFmtId="0" fontId="11" fillId="0" borderId="64" xfId="0" applyFont="1" applyFill="1" applyBorder="1" applyAlignment="1">
      <alignment horizontal="left" vertical="top" wrapText="1"/>
    </xf>
    <xf numFmtId="0" fontId="0" fillId="0" borderId="64" xfId="0" applyFill="1" applyBorder="1" applyAlignment="1"/>
    <xf numFmtId="0" fontId="3" fillId="0" borderId="129" xfId="0" applyNumberFormat="1" applyFont="1" applyFill="1" applyBorder="1" applyAlignment="1" applyProtection="1">
      <alignment horizontal="center" vertical="top" wrapText="1" shrinkToFit="1"/>
      <protection locked="0"/>
    </xf>
    <xf numFmtId="14" fontId="4" fillId="0" borderId="133" xfId="0" applyNumberFormat="1" applyFont="1" applyFill="1" applyBorder="1" applyAlignment="1" applyProtection="1">
      <alignment horizontal="center" vertical="top" wrapText="1" shrinkToFit="1"/>
      <protection locked="0"/>
    </xf>
    <xf numFmtId="14" fontId="3" fillId="0" borderId="64" xfId="0" applyNumberFormat="1" applyFont="1" applyFill="1" applyBorder="1" applyAlignment="1" applyProtection="1">
      <alignment horizontal="center" vertical="top" wrapText="1" shrinkToFit="1" readingOrder="1"/>
      <protection locked="0"/>
    </xf>
    <xf numFmtId="0" fontId="6" fillId="0" borderId="64" xfId="0" applyNumberFormat="1" applyFont="1" applyFill="1" applyBorder="1" applyAlignment="1" applyProtection="1">
      <alignment vertical="top" wrapText="1" shrinkToFit="1" readingOrder="1"/>
      <protection locked="0"/>
    </xf>
    <xf numFmtId="0" fontId="6" fillId="0" borderId="5" xfId="0" applyNumberFormat="1" applyFont="1" applyFill="1" applyBorder="1" applyAlignment="1" applyProtection="1">
      <alignment vertical="top" wrapText="1" shrinkToFit="1"/>
      <protection locked="0"/>
    </xf>
    <xf numFmtId="0" fontId="6" fillId="0" borderId="113" xfId="0" applyNumberFormat="1" applyFont="1" applyFill="1" applyBorder="1" applyAlignment="1" applyProtection="1">
      <alignment horizontal="center" vertical="top" wrapText="1"/>
    </xf>
    <xf numFmtId="0" fontId="6" fillId="0" borderId="114" xfId="0" applyNumberFormat="1" applyFont="1" applyFill="1" applyBorder="1" applyAlignment="1" applyProtection="1">
      <alignment horizontal="center" vertical="top" wrapText="1"/>
    </xf>
    <xf numFmtId="0" fontId="6" fillId="0" borderId="115" xfId="0" applyNumberFormat="1" applyFont="1" applyFill="1" applyBorder="1" applyAlignment="1" applyProtection="1">
      <alignment horizontal="center" vertical="top" wrapText="1"/>
    </xf>
    <xf numFmtId="0" fontId="6" fillId="0" borderId="116" xfId="0" applyNumberFormat="1" applyFont="1" applyFill="1" applyBorder="1" applyAlignment="1" applyProtection="1">
      <alignment horizontal="center" vertical="top" wrapText="1"/>
    </xf>
    <xf numFmtId="0" fontId="4" fillId="0" borderId="4" xfId="0" applyFont="1" applyFill="1" applyBorder="1" applyAlignment="1">
      <alignment horizontal="center" vertical="top" wrapText="1"/>
    </xf>
    <xf numFmtId="0" fontId="4" fillId="0" borderId="109" xfId="0" applyFont="1" applyFill="1" applyBorder="1" applyAlignment="1" applyProtection="1">
      <alignment horizontal="center" vertical="top" wrapText="1" readingOrder="1"/>
      <protection locked="0"/>
    </xf>
    <xf numFmtId="14" fontId="3" fillId="0" borderId="133" xfId="0" applyNumberFormat="1" applyFont="1" applyFill="1" applyBorder="1" applyAlignment="1" applyProtection="1">
      <alignment horizontal="center" vertical="top" wrapText="1" shrinkToFit="1"/>
      <protection locked="0"/>
    </xf>
    <xf numFmtId="0" fontId="3" fillId="0" borderId="134" xfId="0" applyNumberFormat="1" applyFont="1" applyFill="1" applyBorder="1" applyAlignment="1" applyProtection="1">
      <alignment horizontal="center" vertical="top" wrapText="1" shrinkToFit="1"/>
      <protection locked="0"/>
    </xf>
    <xf numFmtId="49" fontId="4" fillId="0" borderId="70" xfId="0" applyNumberFormat="1" applyFont="1" applyFill="1" applyBorder="1" applyAlignment="1" applyProtection="1">
      <alignment horizontal="center" vertical="top" wrapText="1" readingOrder="1"/>
      <protection locked="0"/>
    </xf>
    <xf numFmtId="0" fontId="4" fillId="0" borderId="86" xfId="0" applyFont="1" applyFill="1" applyBorder="1" applyAlignment="1" applyProtection="1">
      <alignment horizontal="center" vertical="top" wrapText="1" readingOrder="1"/>
      <protection locked="0"/>
    </xf>
    <xf numFmtId="0" fontId="4" fillId="0" borderId="6" xfId="0" applyNumberFormat="1" applyFont="1" applyFill="1" applyBorder="1" applyAlignment="1" applyProtection="1">
      <alignment horizontal="center" vertical="top" wrapText="1" shrinkToFit="1"/>
      <protection locked="0"/>
    </xf>
    <xf numFmtId="0" fontId="4" fillId="0" borderId="106" xfId="0" applyFont="1" applyFill="1" applyBorder="1" applyAlignment="1" applyProtection="1">
      <alignment horizontal="center" vertical="top" wrapText="1" readingOrder="1"/>
      <protection locked="0"/>
    </xf>
    <xf numFmtId="164" fontId="7" fillId="0" borderId="140" xfId="0" applyNumberFormat="1" applyFont="1" applyFill="1" applyBorder="1" applyAlignment="1" applyProtection="1">
      <alignment vertical="top" wrapText="1" readingOrder="1"/>
      <protection locked="0"/>
    </xf>
    <xf numFmtId="164" fontId="4" fillId="0" borderId="140" xfId="0" applyNumberFormat="1" applyFont="1" applyFill="1" applyBorder="1" applyAlignment="1" applyProtection="1">
      <alignment vertical="top" wrapText="1" readingOrder="1"/>
      <protection locked="0"/>
    </xf>
    <xf numFmtId="166" fontId="4" fillId="0" borderId="106" xfId="0" applyNumberFormat="1" applyFont="1" applyFill="1" applyBorder="1" applyAlignment="1" applyProtection="1">
      <alignment vertical="top" wrapText="1" readingOrder="1"/>
      <protection locked="0"/>
    </xf>
    <xf numFmtId="166" fontId="4" fillId="0" borderId="133" xfId="0" applyNumberFormat="1" applyFont="1" applyFill="1" applyBorder="1" applyAlignment="1" applyProtection="1">
      <alignment vertical="top" wrapText="1" readingOrder="1"/>
      <protection locked="0"/>
    </xf>
    <xf numFmtId="4" fontId="4" fillId="0" borderId="133" xfId="0" applyNumberFormat="1" applyFont="1" applyFill="1" applyBorder="1" applyAlignment="1" applyProtection="1">
      <alignment vertical="top" wrapText="1" readingOrder="1"/>
      <protection locked="0"/>
    </xf>
    <xf numFmtId="164" fontId="7" fillId="0" borderId="124" xfId="0" applyNumberFormat="1" applyFont="1" applyFill="1" applyBorder="1" applyAlignment="1" applyProtection="1">
      <alignment vertical="top" wrapText="1" readingOrder="1"/>
      <protection locked="0"/>
    </xf>
    <xf numFmtId="164" fontId="7" fillId="0" borderId="133" xfId="0" applyNumberFormat="1" applyFont="1" applyFill="1" applyBorder="1" applyAlignment="1" applyProtection="1">
      <alignment vertical="top" wrapText="1" readingOrder="1"/>
      <protection locked="0"/>
    </xf>
    <xf numFmtId="164" fontId="7" fillId="0" borderId="117" xfId="0" applyNumberFormat="1" applyFont="1" applyFill="1" applyBorder="1" applyAlignment="1" applyProtection="1">
      <alignment vertical="top" wrapText="1" readingOrder="1"/>
      <protection locked="0"/>
    </xf>
    <xf numFmtId="4" fontId="4" fillId="0" borderId="133" xfId="0" applyNumberFormat="1" applyFont="1" applyFill="1" applyBorder="1" applyAlignment="1" applyProtection="1">
      <alignment horizontal="right" vertical="top" wrapText="1" readingOrder="1"/>
      <protection locked="0"/>
    </xf>
    <xf numFmtId="164" fontId="4" fillId="0" borderId="142" xfId="0" applyNumberFormat="1" applyFont="1" applyFill="1" applyBorder="1" applyAlignment="1" applyProtection="1">
      <alignment vertical="top" wrapText="1" readingOrder="1"/>
      <protection locked="0"/>
    </xf>
    <xf numFmtId="164" fontId="4" fillId="0" borderId="139" xfId="0" applyNumberFormat="1" applyFont="1" applyFill="1" applyBorder="1" applyAlignment="1" applyProtection="1">
      <alignment vertical="top" wrapText="1" readingOrder="1"/>
      <protection locked="0"/>
    </xf>
    <xf numFmtId="165" fontId="4" fillId="0" borderId="133" xfId="0" applyNumberFormat="1" applyFont="1" applyFill="1" applyBorder="1" applyAlignment="1" applyProtection="1">
      <alignment vertical="top" wrapText="1" readingOrder="1"/>
      <protection locked="0"/>
    </xf>
    <xf numFmtId="166" fontId="4" fillId="0" borderId="139" xfId="0" applyNumberFormat="1" applyFont="1" applyFill="1" applyBorder="1" applyAlignment="1" applyProtection="1">
      <alignment vertical="top" wrapText="1" readingOrder="1"/>
      <protection locked="0"/>
    </xf>
    <xf numFmtId="166" fontId="4" fillId="0" borderId="131" xfId="0" applyNumberFormat="1" applyFont="1" applyFill="1" applyBorder="1" applyAlignment="1" applyProtection="1">
      <alignment vertical="top" wrapText="1" readingOrder="1"/>
      <protection locked="0"/>
    </xf>
    <xf numFmtId="164" fontId="7" fillId="0" borderId="142" xfId="0" applyNumberFormat="1" applyFont="1" applyFill="1" applyBorder="1" applyAlignment="1" applyProtection="1">
      <alignment vertical="top" wrapText="1" readingOrder="1"/>
      <protection locked="0"/>
    </xf>
    <xf numFmtId="164" fontId="7" fillId="0" borderId="143" xfId="0" applyNumberFormat="1" applyFont="1" applyFill="1" applyBorder="1" applyAlignment="1" applyProtection="1">
      <alignment vertical="top" wrapText="1" readingOrder="1"/>
      <protection locked="0"/>
    </xf>
    <xf numFmtId="164" fontId="7" fillId="0" borderId="141" xfId="0" applyNumberFormat="1" applyFont="1" applyFill="1" applyBorder="1" applyAlignment="1" applyProtection="1">
      <alignment vertical="top" wrapText="1" readingOrder="1"/>
      <protection locked="0"/>
    </xf>
    <xf numFmtId="164" fontId="7" fillId="0" borderId="139" xfId="0" applyNumberFormat="1" applyFont="1" applyFill="1" applyBorder="1" applyAlignment="1" applyProtection="1">
      <alignment vertical="top" wrapText="1" readingOrder="1"/>
      <protection locked="0"/>
    </xf>
    <xf numFmtId="164" fontId="13" fillId="0" borderId="130" xfId="0" applyNumberFormat="1" applyFont="1" applyFill="1" applyBorder="1" applyAlignment="1" applyProtection="1">
      <alignment vertical="top" wrapText="1" readingOrder="1"/>
      <protection locked="0"/>
    </xf>
    <xf numFmtId="164" fontId="4" fillId="0" borderId="143" xfId="0" applyNumberFormat="1" applyFont="1" applyFill="1" applyBorder="1" applyAlignment="1" applyProtection="1">
      <alignment vertical="top" wrapText="1" readingOrder="1"/>
      <protection locked="0"/>
    </xf>
    <xf numFmtId="164" fontId="4" fillId="0" borderId="146" xfId="0" applyNumberFormat="1" applyFont="1" applyFill="1" applyBorder="1" applyAlignment="1" applyProtection="1">
      <alignment vertical="top" wrapText="1" readingOrder="1"/>
      <protection locked="0"/>
    </xf>
    <xf numFmtId="166" fontId="4" fillId="0" borderId="143" xfId="0" applyNumberFormat="1" applyFont="1" applyFill="1" applyBorder="1" applyAlignment="1" applyProtection="1">
      <alignment vertical="top" wrapText="1" readingOrder="1"/>
      <protection locked="0"/>
    </xf>
    <xf numFmtId="164" fontId="4" fillId="0" borderId="141" xfId="0" applyNumberFormat="1" applyFont="1" applyFill="1" applyBorder="1" applyAlignment="1" applyProtection="1">
      <alignment vertical="top" wrapText="1" readingOrder="1"/>
      <protection locked="0"/>
    </xf>
    <xf numFmtId="166" fontId="4" fillId="0" borderId="142" xfId="0" applyNumberFormat="1" applyFont="1" applyFill="1" applyBorder="1" applyAlignment="1" applyProtection="1">
      <alignment vertical="top" wrapText="1" readingOrder="1"/>
      <protection locked="0"/>
    </xf>
    <xf numFmtId="164" fontId="7" fillId="0" borderId="145" xfId="0" applyNumberFormat="1" applyFont="1" applyFill="1" applyBorder="1" applyAlignment="1" applyProtection="1">
      <alignment vertical="top" wrapText="1" readingOrder="1"/>
      <protection locked="0"/>
    </xf>
    <xf numFmtId="166" fontId="4" fillId="0" borderId="130" xfId="0" applyNumberFormat="1" applyFont="1" applyFill="1" applyBorder="1" applyAlignment="1" applyProtection="1">
      <alignment vertical="top" wrapText="1" readingOrder="1"/>
      <protection locked="0"/>
    </xf>
    <xf numFmtId="0" fontId="4" fillId="0" borderId="62" xfId="0" applyNumberFormat="1" applyFont="1" applyFill="1" applyBorder="1" applyAlignment="1" applyProtection="1">
      <alignment horizontal="center" vertical="center" wrapText="1" shrinkToFit="1"/>
      <protection locked="0"/>
    </xf>
    <xf numFmtId="49" fontId="4" fillId="0" borderId="142" xfId="0" applyNumberFormat="1" applyFont="1" applyFill="1" applyBorder="1" applyAlignment="1" applyProtection="1">
      <alignment horizontal="center" vertical="top" wrapText="1" readingOrder="1"/>
      <protection locked="0"/>
    </xf>
    <xf numFmtId="0" fontId="4" fillId="0" borderId="142" xfId="0" applyFont="1" applyFill="1" applyBorder="1" applyAlignment="1" applyProtection="1">
      <alignment vertical="top" wrapText="1" readingOrder="1"/>
      <protection locked="0"/>
    </xf>
    <xf numFmtId="0" fontId="14" fillId="0" borderId="150" xfId="0" applyFont="1" applyFill="1" applyBorder="1" applyAlignment="1">
      <alignment horizontal="justify" vertical="top" wrapText="1"/>
    </xf>
    <xf numFmtId="0" fontId="4" fillId="0" borderId="139" xfId="0" applyFont="1" applyFill="1" applyBorder="1" applyAlignment="1" applyProtection="1">
      <alignment vertical="top" wrapText="1" readingOrder="1"/>
      <protection locked="0"/>
    </xf>
    <xf numFmtId="0" fontId="7" fillId="0" borderId="139" xfId="0" applyFont="1" applyFill="1" applyBorder="1" applyAlignment="1" applyProtection="1">
      <alignment horizontal="center" vertical="top" wrapText="1" readingOrder="1"/>
      <protection locked="0"/>
    </xf>
    <xf numFmtId="0" fontId="6" fillId="0" borderId="64" xfId="0" applyNumberFormat="1" applyFont="1" applyFill="1" applyBorder="1" applyAlignment="1" applyProtection="1">
      <alignment vertical="top" wrapText="1" shrinkToFit="1"/>
      <protection locked="0"/>
    </xf>
    <xf numFmtId="0" fontId="4" fillId="0" borderId="151" xfId="0" applyNumberFormat="1" applyFont="1" applyFill="1" applyBorder="1" applyAlignment="1" applyProtection="1">
      <alignment horizontal="center" vertical="top" wrapText="1" shrinkToFit="1"/>
      <protection locked="0"/>
    </xf>
    <xf numFmtId="0" fontId="13" fillId="0" borderId="64" xfId="0" applyFont="1" applyFill="1" applyBorder="1" applyAlignment="1" applyProtection="1">
      <alignment vertical="top" wrapText="1" readingOrder="1"/>
      <protection locked="0"/>
    </xf>
    <xf numFmtId="0" fontId="6" fillId="0" borderId="54" xfId="0" applyNumberFormat="1" applyFont="1" applyFill="1" applyBorder="1" applyAlignment="1" applyProtection="1">
      <alignment horizontal="center" vertical="center" wrapText="1" shrinkToFit="1"/>
      <protection locked="0"/>
    </xf>
    <xf numFmtId="0" fontId="6" fillId="0" borderId="152" xfId="0" applyNumberFormat="1" applyFont="1" applyFill="1" applyBorder="1" applyAlignment="1" applyProtection="1">
      <alignment horizontal="center" vertical="center" wrapText="1" shrinkToFit="1"/>
      <protection locked="0"/>
    </xf>
    <xf numFmtId="0" fontId="13" fillId="0" borderId="151" xfId="0" applyFont="1" applyFill="1" applyBorder="1" applyAlignment="1" applyProtection="1">
      <alignment vertical="top" wrapText="1" readingOrder="1"/>
      <protection locked="0"/>
    </xf>
    <xf numFmtId="0" fontId="4" fillId="0" borderId="55" xfId="0" applyFont="1" applyFill="1" applyBorder="1" applyAlignment="1" applyProtection="1">
      <alignment vertical="top" wrapText="1" readingOrder="1"/>
      <protection locked="0"/>
    </xf>
    <xf numFmtId="0" fontId="6" fillId="0" borderId="55" xfId="0" applyNumberFormat="1" applyFont="1" applyFill="1" applyBorder="1" applyAlignment="1" applyProtection="1">
      <alignment vertical="top" wrapText="1" shrinkToFit="1"/>
      <protection locked="0"/>
    </xf>
    <xf numFmtId="49" fontId="4" fillId="0" borderId="151" xfId="0" applyNumberFormat="1" applyFont="1" applyFill="1" applyBorder="1" applyAlignment="1" applyProtection="1">
      <alignment horizontal="center" vertical="top" wrapText="1" readingOrder="1"/>
      <protection locked="0"/>
    </xf>
    <xf numFmtId="164" fontId="4" fillId="0" borderId="151" xfId="0" applyNumberFormat="1" applyFont="1" applyFill="1" applyBorder="1" applyAlignment="1" applyProtection="1">
      <alignment vertical="top" wrapText="1" readingOrder="1"/>
      <protection locked="0"/>
    </xf>
    <xf numFmtId="164" fontId="4" fillId="0" borderId="127" xfId="0" applyNumberFormat="1" applyFont="1" applyFill="1" applyBorder="1" applyAlignment="1" applyProtection="1">
      <alignment vertical="top" wrapText="1" readingOrder="1"/>
      <protection locked="0"/>
    </xf>
    <xf numFmtId="0" fontId="4" fillId="0" borderId="117" xfId="0" applyNumberFormat="1" applyFont="1" applyFill="1" applyBorder="1" applyAlignment="1" applyProtection="1">
      <alignment vertical="center" wrapText="1" shrinkToFit="1"/>
      <protection locked="0"/>
    </xf>
    <xf numFmtId="0" fontId="13" fillId="0" borderId="0" xfId="0" applyFont="1" applyFill="1" applyBorder="1" applyAlignment="1" applyProtection="1">
      <alignment vertical="top" wrapText="1" readingOrder="1"/>
      <protection locked="0"/>
    </xf>
    <xf numFmtId="0" fontId="13" fillId="0" borderId="68" xfId="0" applyFont="1" applyFill="1" applyBorder="1" applyAlignment="1" applyProtection="1">
      <alignment vertical="top" wrapText="1" readingOrder="1"/>
      <protection locked="0"/>
    </xf>
    <xf numFmtId="0" fontId="15" fillId="0" borderId="120" xfId="0" applyNumberFormat="1" applyFont="1" applyFill="1" applyBorder="1" applyAlignment="1" applyProtection="1">
      <alignment vertical="top" wrapText="1"/>
    </xf>
    <xf numFmtId="0" fontId="4" fillId="0" borderId="133" xfId="0" applyNumberFormat="1" applyFont="1" applyFill="1" applyBorder="1" applyAlignment="1" applyProtection="1">
      <alignment vertical="center" wrapText="1" shrinkToFit="1"/>
      <protection locked="0"/>
    </xf>
    <xf numFmtId="0" fontId="4" fillId="0" borderId="64" xfId="0" applyNumberFormat="1" applyFont="1" applyFill="1" applyBorder="1" applyAlignment="1" applyProtection="1">
      <alignment vertical="center" wrapText="1" shrinkToFit="1"/>
      <protection locked="0"/>
    </xf>
    <xf numFmtId="0" fontId="4" fillId="0" borderId="133" xfId="0" applyFont="1" applyFill="1" applyBorder="1" applyAlignment="1" applyProtection="1">
      <alignment horizontal="center" vertical="top" wrapText="1" readingOrder="1"/>
      <protection locked="0"/>
    </xf>
    <xf numFmtId="0" fontId="15" fillId="0" borderId="118" xfId="0" applyNumberFormat="1" applyFont="1" applyFill="1" applyBorder="1" applyAlignment="1" applyProtection="1">
      <alignment vertical="top" wrapText="1"/>
    </xf>
    <xf numFmtId="0" fontId="15" fillId="0" borderId="68" xfId="0" applyNumberFormat="1" applyFont="1" applyFill="1" applyBorder="1" applyAlignment="1" applyProtection="1">
      <alignment vertical="top" wrapText="1"/>
    </xf>
    <xf numFmtId="4" fontId="4" fillId="0" borderId="64" xfId="0" applyNumberFormat="1" applyFont="1" applyFill="1" applyBorder="1" applyAlignment="1" applyProtection="1">
      <alignment vertical="top" wrapText="1" readingOrder="1"/>
      <protection locked="0"/>
    </xf>
    <xf numFmtId="0" fontId="15" fillId="0" borderId="64" xfId="0" applyNumberFormat="1" applyFont="1" applyFill="1" applyBorder="1" applyAlignment="1" applyProtection="1">
      <alignment vertical="top" wrapText="1"/>
    </xf>
    <xf numFmtId="0" fontId="13" fillId="0" borderId="120" xfId="0" applyFont="1" applyFill="1" applyBorder="1" applyAlignment="1" applyProtection="1">
      <alignment vertical="top" wrapText="1" readingOrder="1"/>
      <protection locked="0"/>
    </xf>
    <xf numFmtId="49" fontId="8" fillId="0" borderId="64" xfId="0" applyNumberFormat="1" applyFont="1" applyFill="1" applyBorder="1" applyAlignment="1" applyProtection="1">
      <alignment horizontal="center" vertical="top" wrapText="1" readingOrder="1"/>
      <protection locked="0"/>
    </xf>
    <xf numFmtId="49" fontId="13" fillId="0" borderId="64" xfId="0" applyNumberFormat="1" applyFont="1" applyFill="1" applyBorder="1" applyAlignment="1" applyProtection="1">
      <alignment horizontal="center" vertical="top" wrapText="1" readingOrder="1"/>
      <protection locked="0"/>
    </xf>
    <xf numFmtId="164" fontId="13" fillId="0" borderId="64" xfId="0" applyNumberFormat="1" applyFont="1" applyFill="1" applyBorder="1" applyAlignment="1" applyProtection="1">
      <alignment vertical="top" wrapText="1" readingOrder="1"/>
      <protection locked="0"/>
    </xf>
    <xf numFmtId="166" fontId="13" fillId="0" borderId="64" xfId="0" applyNumberFormat="1" applyFont="1" applyFill="1" applyBorder="1" applyAlignment="1" applyProtection="1">
      <alignment vertical="top" wrapText="1" readingOrder="1"/>
      <protection locked="0"/>
    </xf>
    <xf numFmtId="166" fontId="13" fillId="0" borderId="10" xfId="0" applyNumberFormat="1" applyFont="1" applyFill="1" applyBorder="1" applyAlignment="1" applyProtection="1">
      <alignment vertical="top" wrapText="1" readingOrder="1"/>
      <protection locked="0"/>
    </xf>
    <xf numFmtId="166" fontId="4" fillId="0" borderId="137" xfId="0" applyNumberFormat="1" applyFont="1" applyFill="1" applyBorder="1" applyAlignment="1" applyProtection="1">
      <alignment vertical="top" wrapText="1" readingOrder="1"/>
      <protection locked="0"/>
    </xf>
    <xf numFmtId="0" fontId="13" fillId="0" borderId="64" xfId="0" applyFont="1" applyFill="1" applyBorder="1" applyAlignment="1" applyProtection="1">
      <alignment horizontal="left" vertical="top" wrapText="1" readingOrder="1"/>
      <protection locked="0"/>
    </xf>
    <xf numFmtId="0" fontId="6" fillId="0" borderId="133" xfId="0" applyNumberFormat="1" applyFont="1" applyFill="1" applyBorder="1" applyAlignment="1" applyProtection="1">
      <alignment horizontal="center" vertical="top" wrapText="1"/>
    </xf>
    <xf numFmtId="4" fontId="4" fillId="0" borderId="64" xfId="0" applyNumberFormat="1" applyFont="1" applyFill="1" applyBorder="1" applyAlignment="1" applyProtection="1">
      <alignment horizontal="right" vertical="top" wrapText="1" readingOrder="1"/>
      <protection locked="0"/>
    </xf>
    <xf numFmtId="4" fontId="4" fillId="0" borderId="10" xfId="0" applyNumberFormat="1" applyFont="1" applyFill="1" applyBorder="1" applyAlignment="1" applyProtection="1">
      <alignment horizontal="right" vertical="top" wrapText="1" readingOrder="1"/>
      <protection locked="0"/>
    </xf>
    <xf numFmtId="4" fontId="4" fillId="0" borderId="137" xfId="0" applyNumberFormat="1" applyFont="1" applyFill="1" applyBorder="1" applyAlignment="1" applyProtection="1">
      <alignment horizontal="right" vertical="top" wrapText="1" readingOrder="1"/>
      <protection locked="0"/>
    </xf>
    <xf numFmtId="0" fontId="4" fillId="0" borderId="62" xfId="0" applyFont="1" applyFill="1" applyBorder="1" applyAlignment="1" applyProtection="1">
      <alignment vertical="top" wrapText="1" readingOrder="1"/>
      <protection locked="0"/>
    </xf>
    <xf numFmtId="0" fontId="3" fillId="0" borderId="117" xfId="0" applyNumberFormat="1" applyFont="1" applyFill="1" applyBorder="1" applyAlignment="1" applyProtection="1">
      <alignment horizontal="center" vertical="top" wrapText="1" shrinkToFit="1"/>
      <protection locked="0"/>
    </xf>
    <xf numFmtId="14" fontId="3" fillId="0" borderId="117" xfId="0" applyNumberFormat="1" applyFont="1" applyFill="1" applyBorder="1" applyAlignment="1" applyProtection="1">
      <alignment horizontal="center" vertical="top" wrapText="1" shrinkToFit="1"/>
      <protection locked="0"/>
    </xf>
    <xf numFmtId="0" fontId="13" fillId="0" borderId="122" xfId="0" applyFont="1" applyFill="1" applyBorder="1" applyAlignment="1" applyProtection="1">
      <alignment vertical="top" wrapText="1" readingOrder="1"/>
      <protection locked="0"/>
    </xf>
    <xf numFmtId="0" fontId="4" fillId="0" borderId="156" xfId="0" applyNumberFormat="1" applyFont="1" applyFill="1" applyBorder="1" applyAlignment="1" applyProtection="1">
      <alignment vertical="top" wrapText="1" shrinkToFit="1"/>
      <protection locked="0"/>
    </xf>
    <xf numFmtId="0" fontId="4" fillId="0" borderId="156" xfId="0" applyNumberFormat="1" applyFont="1" applyFill="1" applyBorder="1" applyAlignment="1" applyProtection="1">
      <alignment horizontal="center" vertical="top" wrapText="1" shrinkToFit="1"/>
      <protection locked="0"/>
    </xf>
    <xf numFmtId="0" fontId="13" fillId="0" borderId="11" xfId="0" applyFont="1" applyFill="1" applyBorder="1" applyAlignment="1" applyProtection="1">
      <alignment vertical="top" wrapText="1" readingOrder="1"/>
      <protection locked="0"/>
    </xf>
    <xf numFmtId="0" fontId="4" fillId="0" borderId="156" xfId="1" applyNumberFormat="1" applyFont="1" applyFill="1" applyBorder="1" applyAlignment="1">
      <alignment horizontal="center" vertical="top" wrapText="1"/>
    </xf>
    <xf numFmtId="0" fontId="7" fillId="0" borderId="156" xfId="0" applyFont="1" applyFill="1" applyBorder="1" applyAlignment="1" applyProtection="1">
      <alignment horizontal="center" vertical="top" wrapText="1" readingOrder="1"/>
      <protection locked="0"/>
    </xf>
    <xf numFmtId="164" fontId="4" fillId="0" borderId="156" xfId="0" applyNumberFormat="1" applyFont="1" applyFill="1" applyBorder="1" applyAlignment="1" applyProtection="1">
      <alignment vertical="top" wrapText="1" readingOrder="1"/>
      <protection locked="0"/>
    </xf>
    <xf numFmtId="0" fontId="13" fillId="0" borderId="156" xfId="0" applyFont="1" applyFill="1" applyBorder="1" applyAlignment="1" applyProtection="1">
      <alignment vertical="top" wrapText="1" readingOrder="1"/>
      <protection locked="0"/>
    </xf>
    <xf numFmtId="49" fontId="7" fillId="0" borderId="156" xfId="0" applyNumberFormat="1" applyFont="1" applyFill="1" applyBorder="1" applyAlignment="1" applyProtection="1">
      <alignment horizontal="center" vertical="top" wrapText="1" readingOrder="1"/>
      <protection locked="0"/>
    </xf>
    <xf numFmtId="49" fontId="4" fillId="0" borderId="156" xfId="0" applyNumberFormat="1" applyFont="1" applyFill="1" applyBorder="1" applyAlignment="1" applyProtection="1">
      <alignment horizontal="center" vertical="top" wrapText="1" readingOrder="1"/>
      <protection locked="0"/>
    </xf>
    <xf numFmtId="166" fontId="4" fillId="0" borderId="156" xfId="0" applyNumberFormat="1" applyFont="1" applyFill="1" applyBorder="1" applyAlignment="1" applyProtection="1">
      <alignment vertical="top" wrapText="1" readingOrder="1"/>
      <protection locked="0"/>
    </xf>
    <xf numFmtId="166" fontId="4" fillId="0" borderId="157" xfId="0" applyNumberFormat="1" applyFont="1" applyFill="1" applyBorder="1" applyAlignment="1" applyProtection="1">
      <alignment vertical="top" wrapText="1" readingOrder="1"/>
      <protection locked="0"/>
    </xf>
    <xf numFmtId="0" fontId="16" fillId="0" borderId="64" xfId="0" applyFont="1" applyFill="1" applyBorder="1" applyAlignment="1">
      <alignment horizontal="left" vertical="top" wrapText="1"/>
    </xf>
    <xf numFmtId="0" fontId="13" fillId="0" borderId="126" xfId="0" applyFont="1" applyFill="1" applyBorder="1" applyAlignment="1" applyProtection="1">
      <alignment vertical="top" wrapText="1" readingOrder="1"/>
      <protection locked="0"/>
    </xf>
    <xf numFmtId="0" fontId="4" fillId="0" borderId="151" xfId="0" applyFont="1" applyFill="1" applyBorder="1" applyAlignment="1" applyProtection="1">
      <alignment vertical="top" wrapText="1" readingOrder="1"/>
      <protection locked="0"/>
    </xf>
    <xf numFmtId="0" fontId="17" fillId="0" borderId="64" xfId="0" applyNumberFormat="1" applyFont="1" applyFill="1" applyBorder="1" applyAlignment="1" applyProtection="1">
      <alignment vertical="top" wrapText="1" shrinkToFit="1"/>
      <protection locked="0"/>
    </xf>
    <xf numFmtId="0" fontId="4" fillId="0" borderId="156" xfId="0" applyFont="1" applyFill="1" applyBorder="1" applyAlignment="1" applyProtection="1">
      <alignment vertical="top" wrapText="1" readingOrder="1"/>
      <protection locked="0"/>
    </xf>
    <xf numFmtId="164" fontId="4" fillId="0" borderId="157" xfId="0" applyNumberFormat="1" applyFont="1" applyFill="1" applyBorder="1" applyAlignment="1" applyProtection="1">
      <alignment vertical="top" wrapText="1" readingOrder="1"/>
      <protection locked="0"/>
    </xf>
    <xf numFmtId="0" fontId="13" fillId="0" borderId="129" xfId="0" applyFont="1" applyFill="1" applyBorder="1" applyAlignment="1" applyProtection="1">
      <alignment vertical="top" wrapText="1" readingOrder="1"/>
      <protection locked="0"/>
    </xf>
    <xf numFmtId="14" fontId="4" fillId="0" borderId="156" xfId="0" applyNumberFormat="1" applyFont="1" applyFill="1" applyBorder="1" applyAlignment="1" applyProtection="1">
      <alignment horizontal="center" vertical="top" wrapText="1" shrinkToFit="1"/>
      <protection locked="0"/>
    </xf>
    <xf numFmtId="0" fontId="13" fillId="0" borderId="2" xfId="0" applyFont="1" applyFill="1" applyBorder="1" applyAlignment="1" applyProtection="1">
      <alignment vertical="top" wrapText="1" readingOrder="1"/>
      <protection locked="0"/>
    </xf>
    <xf numFmtId="0" fontId="13" fillId="0" borderId="117" xfId="0" applyFont="1" applyFill="1" applyBorder="1" applyAlignment="1" applyProtection="1">
      <alignment vertical="top" wrapText="1" readingOrder="1"/>
      <protection locked="0"/>
    </xf>
    <xf numFmtId="0" fontId="4" fillId="0" borderId="64" xfId="0" applyFont="1" applyFill="1" applyBorder="1" applyAlignment="1">
      <alignment horizontal="center" vertical="top" wrapText="1"/>
    </xf>
    <xf numFmtId="0" fontId="4" fillId="0" borderId="156" xfId="0" applyFont="1" applyFill="1" applyBorder="1" applyAlignment="1">
      <alignment horizontal="center" vertical="top" wrapText="1"/>
    </xf>
    <xf numFmtId="0" fontId="13" fillId="0" borderId="133" xfId="0" applyFont="1" applyFill="1" applyBorder="1" applyAlignment="1" applyProtection="1">
      <alignment vertical="top" wrapText="1" readingOrder="1"/>
      <protection locked="0"/>
    </xf>
    <xf numFmtId="0" fontId="4" fillId="0" borderId="109" xfId="0" applyNumberFormat="1" applyFont="1" applyFill="1" applyBorder="1" applyAlignment="1" applyProtection="1">
      <alignment horizontal="center" vertical="top" wrapText="1" shrinkToFit="1"/>
      <protection locked="0"/>
    </xf>
    <xf numFmtId="14" fontId="4" fillId="0" borderId="109" xfId="0" applyNumberFormat="1" applyFont="1" applyFill="1" applyBorder="1" applyAlignment="1" applyProtection="1">
      <alignment horizontal="center" vertical="top" wrapText="1" shrinkToFit="1"/>
      <protection locked="0"/>
    </xf>
    <xf numFmtId="49" fontId="7" fillId="0" borderId="109" xfId="0" applyNumberFormat="1" applyFont="1" applyFill="1" applyBorder="1" applyAlignment="1" applyProtection="1">
      <alignment horizontal="center" vertical="top" wrapText="1" readingOrder="1"/>
      <protection locked="0"/>
    </xf>
    <xf numFmtId="164" fontId="4" fillId="0" borderId="109" xfId="0" applyNumberFormat="1" applyFont="1" applyFill="1" applyBorder="1" applyAlignment="1" applyProtection="1">
      <alignment vertical="top" wrapText="1" readingOrder="1"/>
      <protection locked="0"/>
    </xf>
    <xf numFmtId="0" fontId="13" fillId="0" borderId="134" xfId="0" applyFont="1" applyFill="1" applyBorder="1" applyAlignment="1" applyProtection="1">
      <alignment vertical="top" wrapText="1" readingOrder="1"/>
      <protection locked="0"/>
    </xf>
    <xf numFmtId="49" fontId="4" fillId="0" borderId="117" xfId="0" applyNumberFormat="1" applyFont="1" applyFill="1" applyBorder="1" applyAlignment="1" applyProtection="1">
      <alignment horizontal="center" vertical="top" wrapText="1" readingOrder="1"/>
      <protection locked="0"/>
    </xf>
    <xf numFmtId="49" fontId="7" fillId="0" borderId="139" xfId="0" applyNumberFormat="1" applyFont="1" applyFill="1" applyBorder="1" applyAlignment="1" applyProtection="1">
      <alignment horizontal="center" vertical="top" wrapText="1" readingOrder="1"/>
      <protection locked="0"/>
    </xf>
    <xf numFmtId="14" fontId="4" fillId="0" borderId="139" xfId="0" applyNumberFormat="1" applyFont="1" applyFill="1" applyBorder="1" applyAlignment="1" applyProtection="1">
      <alignment horizontal="left" vertical="top" wrapText="1" readingOrder="1"/>
      <protection locked="0"/>
    </xf>
    <xf numFmtId="14" fontId="13" fillId="0" borderId="117" xfId="0" applyNumberFormat="1" applyFont="1" applyFill="1" applyBorder="1" applyAlignment="1" applyProtection="1">
      <alignment horizontal="left" vertical="top" wrapText="1" readingOrder="1"/>
      <protection locked="0"/>
    </xf>
    <xf numFmtId="14" fontId="13" fillId="0" borderId="62" xfId="0" applyNumberFormat="1" applyFont="1" applyFill="1" applyBorder="1" applyAlignment="1" applyProtection="1">
      <alignment horizontal="left" vertical="top" wrapText="1" readingOrder="1"/>
      <protection locked="0"/>
    </xf>
    <xf numFmtId="0" fontId="7" fillId="0" borderId="105" xfId="0" applyFont="1" applyFill="1" applyBorder="1" applyAlignment="1" applyProtection="1">
      <alignment vertical="top" wrapText="1" readingOrder="1"/>
      <protection locked="0"/>
    </xf>
    <xf numFmtId="0" fontId="3" fillId="0" borderId="105" xfId="0" applyNumberFormat="1" applyFont="1" applyFill="1" applyBorder="1" applyAlignment="1" applyProtection="1">
      <alignment vertical="top" wrapText="1" shrinkToFit="1"/>
      <protection locked="0"/>
    </xf>
    <xf numFmtId="14" fontId="3" fillId="0" borderId="105" xfId="0" applyNumberFormat="1" applyFont="1" applyFill="1" applyBorder="1" applyAlignment="1" applyProtection="1">
      <alignment vertical="top" wrapText="1" shrinkToFit="1"/>
      <protection locked="0"/>
    </xf>
    <xf numFmtId="49" fontId="7" fillId="0" borderId="105" xfId="0" applyNumberFormat="1" applyFont="1" applyFill="1" applyBorder="1" applyAlignment="1" applyProtection="1">
      <alignment horizontal="center" vertical="top" wrapText="1" readingOrder="1"/>
      <protection locked="0"/>
    </xf>
    <xf numFmtId="164" fontId="7" fillId="0" borderId="105" xfId="0" applyNumberFormat="1" applyFont="1" applyFill="1" applyBorder="1" applyAlignment="1" applyProtection="1">
      <alignment vertical="top" wrapText="1" readingOrder="1"/>
      <protection locked="0"/>
    </xf>
    <xf numFmtId="0" fontId="4" fillId="0" borderId="158" xfId="0" applyFont="1" applyFill="1" applyBorder="1" applyAlignment="1" applyProtection="1">
      <alignment vertical="top" wrapText="1" readingOrder="1"/>
      <protection locked="0"/>
    </xf>
    <xf numFmtId="0" fontId="3" fillId="0" borderId="98" xfId="0" applyNumberFormat="1" applyFont="1" applyFill="1" applyBorder="1" applyAlignment="1" applyProtection="1">
      <alignment horizontal="center" vertical="top" wrapText="1" shrinkToFit="1"/>
      <protection locked="0"/>
    </xf>
    <xf numFmtId="14" fontId="3" fillId="0" borderId="98" xfId="0" applyNumberFormat="1" applyFont="1" applyFill="1" applyBorder="1" applyAlignment="1" applyProtection="1">
      <alignment horizontal="center" vertical="top" wrapText="1" shrinkToFit="1"/>
      <protection locked="0"/>
    </xf>
    <xf numFmtId="0" fontId="7" fillId="0" borderId="162" xfId="0" applyFont="1" applyFill="1" applyBorder="1" applyAlignment="1" applyProtection="1">
      <alignment vertical="top" wrapText="1" readingOrder="1"/>
      <protection locked="0"/>
    </xf>
    <xf numFmtId="0" fontId="7" fillId="0" borderId="162" xfId="0" applyFont="1" applyFill="1" applyBorder="1" applyAlignment="1" applyProtection="1">
      <alignment horizontal="center" vertical="top" wrapText="1" readingOrder="1"/>
      <protection locked="0"/>
    </xf>
    <xf numFmtId="49" fontId="7" fillId="0" borderId="162" xfId="0" applyNumberFormat="1" applyFont="1" applyFill="1" applyBorder="1" applyAlignment="1" applyProtection="1">
      <alignment horizontal="center" vertical="top" wrapText="1" readingOrder="1"/>
      <protection locked="0"/>
    </xf>
    <xf numFmtId="164" fontId="7" fillId="0" borderId="162" xfId="0" applyNumberFormat="1" applyFont="1" applyFill="1" applyBorder="1" applyAlignment="1" applyProtection="1">
      <alignment vertical="top" wrapText="1" readingOrder="1"/>
      <protection locked="0"/>
    </xf>
    <xf numFmtId="0" fontId="13" fillId="0" borderId="162" xfId="0" applyFont="1" applyFill="1" applyBorder="1" applyAlignment="1" applyProtection="1">
      <alignment vertical="top" wrapText="1" readingOrder="1"/>
      <protection locked="0"/>
    </xf>
    <xf numFmtId="0" fontId="13" fillId="0" borderId="64" xfId="0" applyNumberFormat="1" applyFont="1" applyFill="1" applyBorder="1" applyAlignment="1" applyProtection="1">
      <alignment vertical="top" wrapText="1" readingOrder="1"/>
      <protection locked="0"/>
    </xf>
    <xf numFmtId="0" fontId="13" fillId="0" borderId="162" xfId="0" applyNumberFormat="1" applyFont="1" applyFill="1" applyBorder="1" applyAlignment="1" applyProtection="1">
      <alignment vertical="top" wrapText="1" readingOrder="1"/>
      <protection locked="0"/>
    </xf>
    <xf numFmtId="164" fontId="4" fillId="0" borderId="162" xfId="0" applyNumberFormat="1" applyFont="1" applyFill="1" applyBorder="1" applyAlignment="1" applyProtection="1">
      <alignment vertical="top" wrapText="1" readingOrder="1"/>
      <protection locked="0"/>
    </xf>
    <xf numFmtId="49" fontId="4" fillId="0" borderId="162" xfId="0" applyNumberFormat="1" applyFont="1" applyFill="1" applyBorder="1" applyAlignment="1" applyProtection="1">
      <alignment horizontal="center" vertical="top" wrapText="1" readingOrder="1"/>
      <protection locked="0"/>
    </xf>
    <xf numFmtId="49" fontId="4" fillId="0" borderId="139" xfId="0" applyNumberFormat="1" applyFont="1" applyFill="1" applyBorder="1" applyAlignment="1" applyProtection="1">
      <alignment horizontal="center" vertical="top" wrapText="1" readingOrder="1"/>
      <protection locked="0"/>
    </xf>
    <xf numFmtId="0" fontId="13" fillId="0" borderId="5" xfId="0" applyFont="1" applyFill="1" applyBorder="1" applyAlignment="1" applyProtection="1">
      <alignment horizontal="left" vertical="top" wrapText="1" readingOrder="1"/>
      <protection locked="0"/>
    </xf>
    <xf numFmtId="0" fontId="13" fillId="0" borderId="5" xfId="0" applyFont="1" applyFill="1" applyBorder="1" applyAlignment="1" applyProtection="1">
      <alignment vertical="top" wrapText="1" readingOrder="1"/>
      <protection locked="0"/>
    </xf>
    <xf numFmtId="0" fontId="13" fillId="0" borderId="102" xfId="0" applyFont="1" applyFill="1" applyBorder="1" applyAlignment="1" applyProtection="1">
      <alignment vertical="top" wrapText="1" readingOrder="1"/>
      <protection locked="0"/>
    </xf>
    <xf numFmtId="0" fontId="7" fillId="0" borderId="163" xfId="0" applyFont="1" applyFill="1" applyBorder="1" applyAlignment="1" applyProtection="1">
      <alignment vertical="top" wrapText="1" readingOrder="1"/>
      <protection locked="0"/>
    </xf>
    <xf numFmtId="0" fontId="3" fillId="0" borderId="64" xfId="1" applyNumberFormat="1" applyFont="1" applyFill="1" applyBorder="1" applyAlignment="1">
      <alignment horizontal="center" vertical="top" wrapText="1"/>
    </xf>
    <xf numFmtId="0" fontId="7" fillId="0" borderId="124" xfId="0" applyFont="1" applyFill="1" applyBorder="1" applyAlignment="1" applyProtection="1">
      <alignment vertical="top" wrapText="1" readingOrder="1"/>
      <protection locked="0"/>
    </xf>
    <xf numFmtId="0" fontId="13" fillId="0" borderId="136" xfId="0" applyFont="1" applyFill="1" applyBorder="1" applyAlignment="1" applyProtection="1">
      <alignment vertical="top" wrapText="1" readingOrder="1"/>
      <protection locked="0"/>
    </xf>
    <xf numFmtId="0" fontId="3" fillId="0" borderId="61" xfId="0" applyNumberFormat="1" applyFont="1" applyFill="1" applyBorder="1" applyAlignment="1" applyProtection="1">
      <alignment horizontal="center" vertical="top" wrapText="1" shrinkToFit="1"/>
      <protection locked="0"/>
    </xf>
    <xf numFmtId="14" fontId="4" fillId="0" borderId="139" xfId="0" applyNumberFormat="1" applyFont="1" applyFill="1" applyBorder="1" applyAlignment="1" applyProtection="1">
      <alignment horizontal="center" vertical="top" wrapText="1" shrinkToFit="1"/>
      <protection locked="0"/>
    </xf>
    <xf numFmtId="0" fontId="4" fillId="0" borderId="139" xfId="0" applyNumberFormat="1" applyFont="1" applyFill="1" applyBorder="1" applyAlignment="1" applyProtection="1">
      <alignment horizontal="center" vertical="top" wrapText="1" shrinkToFit="1"/>
      <protection locked="0"/>
    </xf>
    <xf numFmtId="0" fontId="4" fillId="0" borderId="4" xfId="0" applyFont="1" applyFill="1" applyBorder="1" applyAlignment="1" applyProtection="1">
      <alignment horizontal="center" vertical="top" wrapText="1" readingOrder="1"/>
      <protection locked="0"/>
    </xf>
    <xf numFmtId="49" fontId="7" fillId="0" borderId="164" xfId="0" applyNumberFormat="1" applyFont="1" applyFill="1" applyBorder="1" applyAlignment="1" applyProtection="1">
      <alignment horizontal="center" vertical="top" wrapText="1" readingOrder="1"/>
      <protection locked="0"/>
    </xf>
    <xf numFmtId="0" fontId="7" fillId="0" borderId="165" xfId="0" applyFont="1" applyFill="1" applyBorder="1" applyAlignment="1" applyProtection="1">
      <alignment vertical="top" wrapText="1" readingOrder="1"/>
      <protection locked="0"/>
    </xf>
    <xf numFmtId="49" fontId="7" fillId="0" borderId="165" xfId="0" applyNumberFormat="1" applyFont="1" applyFill="1" applyBorder="1" applyAlignment="1" applyProtection="1">
      <alignment horizontal="center" vertical="top" wrapText="1" readingOrder="1"/>
      <protection locked="0"/>
    </xf>
    <xf numFmtId="0" fontId="13" fillId="0" borderId="167" xfId="0" applyFont="1" applyFill="1" applyBorder="1" applyAlignment="1" applyProtection="1">
      <alignment vertical="top" wrapText="1" readingOrder="1"/>
      <protection locked="0"/>
    </xf>
    <xf numFmtId="0" fontId="7" fillId="0" borderId="139" xfId="0" applyFont="1" applyFill="1" applyBorder="1" applyAlignment="1" applyProtection="1">
      <alignment vertical="top" wrapText="1" readingOrder="1"/>
      <protection locked="0"/>
    </xf>
    <xf numFmtId="0" fontId="6" fillId="0" borderId="142" xfId="0" applyNumberFormat="1" applyFont="1" applyFill="1" applyBorder="1" applyAlignment="1" applyProtection="1">
      <alignment horizontal="center" vertical="top" wrapText="1" shrinkToFit="1"/>
      <protection locked="0"/>
    </xf>
    <xf numFmtId="0" fontId="6" fillId="0" borderId="142" xfId="0" applyNumberFormat="1" applyFont="1" applyFill="1" applyBorder="1" applyAlignment="1" applyProtection="1">
      <alignment vertical="top" wrapText="1" shrinkToFit="1"/>
      <protection locked="0"/>
    </xf>
    <xf numFmtId="0" fontId="7" fillId="0" borderId="142" xfId="0" applyFont="1" applyFill="1" applyBorder="1" applyAlignment="1" applyProtection="1">
      <alignment vertical="top" wrapText="1" readingOrder="1"/>
      <protection locked="0"/>
    </xf>
    <xf numFmtId="49" fontId="7" fillId="0" borderId="142" xfId="0" applyNumberFormat="1" applyFont="1" applyFill="1" applyBorder="1" applyAlignment="1" applyProtection="1">
      <alignment horizontal="center" vertical="top" wrapText="1" readingOrder="1"/>
      <protection locked="0"/>
    </xf>
    <xf numFmtId="0" fontId="7" fillId="0" borderId="142" xfId="0" applyFont="1" applyFill="1" applyBorder="1" applyAlignment="1" applyProtection="1">
      <alignment horizontal="center" vertical="top" wrapText="1" readingOrder="1"/>
      <protection locked="0"/>
    </xf>
    <xf numFmtId="49" fontId="4" fillId="0" borderId="168" xfId="0" applyNumberFormat="1" applyFont="1" applyFill="1" applyBorder="1" applyAlignment="1" applyProtection="1">
      <alignment horizontal="center" vertical="top" wrapText="1" readingOrder="1"/>
      <protection locked="0"/>
    </xf>
    <xf numFmtId="164" fontId="4" fillId="0" borderId="168" xfId="0" applyNumberFormat="1" applyFont="1" applyFill="1" applyBorder="1" applyAlignment="1" applyProtection="1">
      <alignment vertical="top" wrapText="1" readingOrder="1"/>
      <protection locked="0"/>
    </xf>
    <xf numFmtId="0" fontId="7" fillId="0" borderId="168" xfId="0" applyFont="1" applyFill="1" applyBorder="1" applyAlignment="1" applyProtection="1">
      <alignment vertical="top" wrapText="1" readingOrder="1"/>
      <protection locked="0"/>
    </xf>
    <xf numFmtId="0" fontId="7" fillId="0" borderId="168" xfId="0" applyFont="1" applyFill="1" applyBorder="1" applyAlignment="1" applyProtection="1">
      <alignment horizontal="center" vertical="top" wrapText="1" readingOrder="1"/>
      <protection locked="0"/>
    </xf>
    <xf numFmtId="164" fontId="7" fillId="0" borderId="168" xfId="0" applyNumberFormat="1" applyFont="1" applyFill="1" applyBorder="1" applyAlignment="1" applyProtection="1">
      <alignment vertical="top" wrapText="1" readingOrder="1"/>
      <protection locked="0"/>
    </xf>
    <xf numFmtId="0" fontId="4" fillId="0" borderId="160" xfId="0" applyFont="1" applyFill="1" applyBorder="1" applyAlignment="1" applyProtection="1">
      <alignment vertical="top" wrapText="1" readingOrder="1"/>
      <protection locked="0"/>
    </xf>
    <xf numFmtId="0" fontId="1" fillId="0" borderId="74" xfId="0" applyFont="1" applyFill="1" applyBorder="1"/>
    <xf numFmtId="0" fontId="13" fillId="0" borderId="160" xfId="0" applyFont="1" applyFill="1" applyBorder="1" applyAlignment="1" applyProtection="1">
      <alignment vertical="top" wrapText="1" readingOrder="1"/>
      <protection locked="0"/>
    </xf>
    <xf numFmtId="0" fontId="4" fillId="0" borderId="169" xfId="0" applyNumberFormat="1" applyFont="1" applyFill="1" applyBorder="1" applyAlignment="1" applyProtection="1">
      <alignment horizontal="center" vertical="top" wrapText="1" shrinkToFit="1"/>
      <protection locked="0"/>
    </xf>
    <xf numFmtId="0" fontId="4" fillId="0" borderId="163" xfId="0" applyNumberFormat="1" applyFont="1" applyFill="1" applyBorder="1" applyAlignment="1" applyProtection="1">
      <alignment horizontal="center" vertical="top" wrapText="1" shrinkToFit="1"/>
      <protection locked="0"/>
    </xf>
    <xf numFmtId="0" fontId="4" fillId="0" borderId="170" xfId="0" applyNumberFormat="1" applyFont="1" applyFill="1" applyBorder="1" applyAlignment="1" applyProtection="1">
      <alignment horizontal="center" vertical="top" wrapText="1" shrinkToFit="1"/>
      <protection locked="0"/>
    </xf>
    <xf numFmtId="0" fontId="4" fillId="0" borderId="142" xfId="0" applyNumberFormat="1" applyFont="1" applyFill="1" applyBorder="1" applyAlignment="1" applyProtection="1">
      <alignment horizontal="center" vertical="top" wrapText="1" shrinkToFit="1"/>
      <protection locked="0"/>
    </xf>
    <xf numFmtId="0" fontId="13" fillId="0" borderId="142" xfId="0" applyFont="1" applyFill="1" applyBorder="1" applyAlignment="1" applyProtection="1">
      <alignment vertical="top" wrapText="1" readingOrder="1"/>
      <protection locked="0"/>
    </xf>
    <xf numFmtId="49" fontId="7" fillId="0" borderId="124" xfId="0" applyNumberFormat="1" applyFont="1" applyFill="1" applyBorder="1" applyAlignment="1" applyProtection="1">
      <alignment horizontal="center" vertical="top" wrapText="1" readingOrder="1"/>
      <protection locked="0"/>
    </xf>
    <xf numFmtId="0" fontId="4" fillId="0" borderId="167" xfId="0" applyFont="1" applyFill="1" applyBorder="1" applyAlignment="1" applyProtection="1">
      <alignment horizontal="center" vertical="top" wrapText="1" readingOrder="1"/>
      <protection locked="0"/>
    </xf>
    <xf numFmtId="49" fontId="4" fillId="0" borderId="143" xfId="0" applyNumberFormat="1" applyFont="1" applyFill="1" applyBorder="1" applyAlignment="1" applyProtection="1">
      <alignment horizontal="center" vertical="top" wrapText="1" readingOrder="1"/>
      <protection locked="0"/>
    </xf>
    <xf numFmtId="0" fontId="13" fillId="0" borderId="171" xfId="0" applyFont="1" applyFill="1" applyBorder="1" applyAlignment="1" applyProtection="1">
      <alignment vertical="top" wrapText="1" readingOrder="1"/>
      <protection locked="0"/>
    </xf>
    <xf numFmtId="49" fontId="7" fillId="0" borderId="174" xfId="0" applyNumberFormat="1" applyFont="1" applyFill="1" applyBorder="1" applyAlignment="1" applyProtection="1">
      <alignment horizontal="center" vertical="top" wrapText="1" readingOrder="1"/>
      <protection locked="0"/>
    </xf>
    <xf numFmtId="0" fontId="7" fillId="0" borderId="175" xfId="0" applyFont="1" applyFill="1" applyBorder="1" applyAlignment="1" applyProtection="1">
      <alignment vertical="top" wrapText="1" readingOrder="1"/>
      <protection locked="0"/>
    </xf>
    <xf numFmtId="49" fontId="4" fillId="0" borderId="112" xfId="0" applyNumberFormat="1" applyFont="1" applyFill="1" applyBorder="1" applyAlignment="1" applyProtection="1">
      <alignment horizontal="center" vertical="top" wrapText="1" readingOrder="1"/>
      <protection locked="0"/>
    </xf>
    <xf numFmtId="0" fontId="13" fillId="0" borderId="173" xfId="0" applyFont="1" applyFill="1" applyBorder="1" applyAlignment="1" applyProtection="1">
      <alignment vertical="top" wrapText="1" readingOrder="1"/>
      <protection locked="0"/>
    </xf>
    <xf numFmtId="49" fontId="7" fillId="0" borderId="173" xfId="0" applyNumberFormat="1" applyFont="1" applyFill="1" applyBorder="1" applyAlignment="1" applyProtection="1">
      <alignment horizontal="center" vertical="top" wrapText="1" readingOrder="1"/>
      <protection locked="0"/>
    </xf>
    <xf numFmtId="0" fontId="7" fillId="0" borderId="173" xfId="0" applyFont="1" applyFill="1" applyBorder="1" applyAlignment="1" applyProtection="1">
      <alignment vertical="top" wrapText="1" readingOrder="1"/>
      <protection locked="0"/>
    </xf>
    <xf numFmtId="0" fontId="4" fillId="0" borderId="173" xfId="0" applyFont="1" applyFill="1" applyBorder="1" applyAlignment="1" applyProtection="1">
      <alignment horizontal="center" vertical="top" wrapText="1" readingOrder="1"/>
      <protection locked="0"/>
    </xf>
    <xf numFmtId="0" fontId="4" fillId="0" borderId="173" xfId="0" applyFont="1" applyFill="1" applyBorder="1" applyAlignment="1" applyProtection="1">
      <alignment vertical="top" wrapText="1" readingOrder="1"/>
      <protection locked="0"/>
    </xf>
    <xf numFmtId="0" fontId="4" fillId="0" borderId="176" xfId="0" applyFont="1" applyFill="1" applyBorder="1" applyAlignment="1" applyProtection="1">
      <alignment horizontal="center" vertical="top" wrapText="1" readingOrder="1"/>
      <protection locked="0"/>
    </xf>
    <xf numFmtId="0" fontId="4" fillId="0" borderId="112" xfId="0" applyFont="1" applyFill="1" applyBorder="1" applyAlignment="1" applyProtection="1">
      <alignment vertical="top" wrapText="1" readingOrder="1"/>
      <protection locked="0"/>
    </xf>
    <xf numFmtId="0" fontId="4" fillId="0" borderId="177" xfId="0" applyFont="1" applyFill="1" applyBorder="1" applyAlignment="1" applyProtection="1">
      <alignment vertical="top" wrapText="1" readingOrder="1"/>
      <protection locked="0"/>
    </xf>
    <xf numFmtId="0" fontId="4" fillId="0" borderId="171" xfId="0" applyFont="1" applyFill="1" applyBorder="1" applyAlignment="1" applyProtection="1">
      <alignment vertical="top" wrapText="1" readingOrder="1"/>
      <protection locked="0"/>
    </xf>
    <xf numFmtId="0" fontId="4" fillId="0" borderId="162" xfId="0" applyFont="1" applyFill="1" applyBorder="1" applyAlignment="1" applyProtection="1">
      <alignment vertical="top" wrapText="1" readingOrder="1"/>
      <protection locked="0"/>
    </xf>
    <xf numFmtId="0" fontId="4" fillId="0" borderId="155" xfId="0" applyFont="1" applyFill="1" applyBorder="1" applyAlignment="1" applyProtection="1">
      <alignment vertical="top" wrapText="1" readingOrder="1"/>
      <protection locked="0"/>
    </xf>
    <xf numFmtId="0" fontId="4" fillId="0" borderId="180" xfId="0" applyFont="1" applyFill="1" applyBorder="1" applyAlignment="1" applyProtection="1">
      <alignment vertical="top" wrapText="1" readingOrder="1"/>
      <protection locked="0"/>
    </xf>
    <xf numFmtId="0" fontId="13" fillId="0" borderId="23" xfId="0" applyFont="1" applyFill="1" applyBorder="1" applyAlignment="1" applyProtection="1">
      <alignment vertical="top" wrapText="1" readingOrder="1"/>
      <protection locked="0"/>
    </xf>
    <xf numFmtId="14" fontId="4" fillId="0" borderId="178" xfId="0" applyNumberFormat="1" applyFont="1" applyFill="1" applyBorder="1" applyAlignment="1" applyProtection="1">
      <alignment horizontal="center" vertical="top" wrapText="1" shrinkToFit="1"/>
      <protection locked="0"/>
    </xf>
    <xf numFmtId="164" fontId="4" fillId="0" borderId="178" xfId="0" applyNumberFormat="1" applyFont="1" applyFill="1" applyBorder="1" applyAlignment="1" applyProtection="1">
      <alignment vertical="top" wrapText="1" readingOrder="1"/>
      <protection locked="0"/>
    </xf>
    <xf numFmtId="0" fontId="7" fillId="0" borderId="171" xfId="0" applyFont="1" applyFill="1" applyBorder="1" applyAlignment="1" applyProtection="1">
      <alignment vertical="top" wrapText="1" readingOrder="1"/>
      <protection locked="0"/>
    </xf>
    <xf numFmtId="0" fontId="7" fillId="0" borderId="179" xfId="0" applyFont="1" applyFill="1" applyBorder="1" applyAlignment="1" applyProtection="1">
      <alignment vertical="top" wrapText="1" readingOrder="1"/>
      <protection locked="0"/>
    </xf>
    <xf numFmtId="0" fontId="7" fillId="0" borderId="171" xfId="0" applyFont="1" applyFill="1" applyBorder="1" applyAlignment="1" applyProtection="1">
      <alignment horizontal="center" vertical="top" wrapText="1" readingOrder="1"/>
      <protection locked="0"/>
    </xf>
    <xf numFmtId="164" fontId="7" fillId="0" borderId="171" xfId="0" applyNumberFormat="1" applyFont="1" applyFill="1" applyBorder="1" applyAlignment="1" applyProtection="1">
      <alignment vertical="top" wrapText="1" readingOrder="1"/>
      <protection locked="0"/>
    </xf>
    <xf numFmtId="164" fontId="7" fillId="0" borderId="157" xfId="0" applyNumberFormat="1" applyFont="1" applyFill="1" applyBorder="1" applyAlignment="1" applyProtection="1">
      <alignment vertical="top" wrapText="1" readingOrder="1"/>
      <protection locked="0"/>
    </xf>
    <xf numFmtId="49" fontId="4" fillId="0" borderId="130" xfId="0" applyNumberFormat="1" applyFont="1" applyFill="1" applyBorder="1" applyAlignment="1" applyProtection="1">
      <alignment horizontal="center" vertical="top" wrapText="1" readingOrder="1"/>
      <protection locked="0"/>
    </xf>
    <xf numFmtId="0" fontId="4" fillId="0" borderId="130" xfId="0" applyFont="1" applyFill="1" applyBorder="1" applyAlignment="1" applyProtection="1">
      <alignment vertical="top" wrapText="1" readingOrder="1"/>
      <protection locked="0"/>
    </xf>
    <xf numFmtId="0" fontId="4" fillId="0" borderId="181" xfId="0" applyNumberFormat="1" applyFont="1" applyFill="1" applyBorder="1" applyAlignment="1" applyProtection="1">
      <alignment vertical="top" wrapText="1" shrinkToFit="1"/>
      <protection locked="0"/>
    </xf>
    <xf numFmtId="0" fontId="4" fillId="0" borderId="182" xfId="0" applyFont="1" applyFill="1" applyBorder="1" applyAlignment="1" applyProtection="1">
      <alignment horizontal="left" vertical="top" wrapText="1" readingOrder="1"/>
      <protection locked="0"/>
    </xf>
    <xf numFmtId="49" fontId="4" fillId="0" borderId="182" xfId="0" applyNumberFormat="1" applyFont="1" applyFill="1" applyBorder="1" applyAlignment="1" applyProtection="1">
      <alignment horizontal="center" vertical="top" wrapText="1" readingOrder="1"/>
      <protection locked="0"/>
    </xf>
    <xf numFmtId="0" fontId="4" fillId="0" borderId="182" xfId="0" applyFont="1" applyFill="1" applyBorder="1" applyAlignment="1" applyProtection="1">
      <alignment vertical="top" wrapText="1" readingOrder="1"/>
      <protection locked="0"/>
    </xf>
    <xf numFmtId="0" fontId="4" fillId="0" borderId="182" xfId="0" applyFont="1" applyFill="1" applyBorder="1" applyAlignment="1">
      <alignment horizontal="center" vertical="top" wrapText="1"/>
    </xf>
    <xf numFmtId="0" fontId="13" fillId="0" borderId="172" xfId="0" applyFont="1" applyFill="1" applyBorder="1" applyAlignment="1" applyProtection="1">
      <alignment horizontal="left" vertical="top" wrapText="1" readingOrder="1"/>
      <protection locked="0"/>
    </xf>
    <xf numFmtId="49" fontId="4" fillId="0" borderId="24" xfId="0" applyNumberFormat="1" applyFont="1" applyFill="1" applyBorder="1" applyAlignment="1" applyProtection="1">
      <alignment horizontal="center" vertical="top" wrapText="1" readingOrder="1"/>
      <protection locked="0"/>
    </xf>
    <xf numFmtId="0" fontId="13" fillId="0" borderId="178" xfId="0" applyFont="1" applyFill="1" applyBorder="1" applyAlignment="1" applyProtection="1">
      <alignment vertical="top" wrapText="1" readingOrder="1"/>
      <protection locked="0"/>
    </xf>
    <xf numFmtId="0" fontId="4" fillId="0" borderId="139" xfId="0" applyFont="1" applyFill="1" applyBorder="1" applyAlignment="1">
      <alignment horizontal="center" vertical="top" wrapText="1"/>
    </xf>
    <xf numFmtId="166" fontId="4" fillId="0" borderId="178" xfId="0" applyNumberFormat="1" applyFont="1" applyFill="1" applyBorder="1" applyAlignment="1" applyProtection="1">
      <alignment vertical="top" wrapText="1" readingOrder="1"/>
      <protection locked="0"/>
    </xf>
    <xf numFmtId="0" fontId="13" fillId="0" borderId="178" xfId="0" applyFont="1" applyFill="1" applyBorder="1" applyAlignment="1" applyProtection="1">
      <alignment horizontal="left" vertical="top" wrapText="1" readingOrder="1"/>
      <protection locked="0"/>
    </xf>
    <xf numFmtId="0" fontId="7" fillId="0" borderId="177" xfId="0" applyFont="1" applyFill="1" applyBorder="1" applyAlignment="1" applyProtection="1">
      <alignment vertical="top" wrapText="1" readingOrder="1"/>
      <protection locked="0"/>
    </xf>
    <xf numFmtId="0" fontId="7" fillId="0" borderId="178" xfId="0" applyFont="1" applyFill="1" applyBorder="1" applyAlignment="1" applyProtection="1">
      <alignment vertical="top" wrapText="1" readingOrder="1"/>
      <protection locked="0"/>
    </xf>
    <xf numFmtId="166" fontId="7" fillId="0" borderId="5" xfId="0" applyNumberFormat="1" applyFont="1" applyFill="1" applyBorder="1" applyAlignment="1" applyProtection="1">
      <alignment vertical="top" wrapText="1" readingOrder="1"/>
      <protection locked="0"/>
    </xf>
    <xf numFmtId="14" fontId="3" fillId="0" borderId="5" xfId="0" applyNumberFormat="1" applyFont="1" applyFill="1" applyBorder="1" applyAlignment="1" applyProtection="1">
      <alignment horizontal="center" vertical="top" wrapText="1" shrinkToFit="1" readingOrder="1"/>
      <protection locked="0"/>
    </xf>
    <xf numFmtId="0" fontId="6" fillId="0" borderId="5" xfId="0" applyNumberFormat="1" applyFont="1" applyFill="1" applyBorder="1" applyAlignment="1" applyProtection="1">
      <alignment vertical="top" wrapText="1" shrinkToFit="1" readingOrder="1"/>
      <protection locked="0"/>
    </xf>
    <xf numFmtId="0" fontId="7" fillId="0" borderId="146" xfId="0" applyFont="1" applyFill="1" applyBorder="1" applyAlignment="1" applyProtection="1">
      <alignment vertical="top" wrapText="1" readingOrder="1"/>
      <protection locked="0"/>
    </xf>
    <xf numFmtId="166" fontId="4" fillId="0" borderId="77" xfId="0" applyNumberFormat="1" applyFont="1" applyFill="1" applyBorder="1" applyAlignment="1" applyProtection="1">
      <alignment vertical="top" wrapText="1" readingOrder="1"/>
      <protection locked="0"/>
    </xf>
    <xf numFmtId="49" fontId="4" fillId="0" borderId="158" xfId="0" applyNumberFormat="1" applyFont="1" applyFill="1" applyBorder="1" applyAlignment="1" applyProtection="1">
      <alignment horizontal="center" vertical="top" wrapText="1" readingOrder="1"/>
      <protection locked="0"/>
    </xf>
    <xf numFmtId="49" fontId="4" fillId="0" borderId="186" xfId="0" applyNumberFormat="1" applyFont="1" applyFill="1" applyBorder="1" applyAlignment="1" applyProtection="1">
      <alignment horizontal="center" vertical="top" wrapText="1" readingOrder="1"/>
      <protection locked="0"/>
    </xf>
    <xf numFmtId="0" fontId="4" fillId="0" borderId="186" xfId="0" applyFont="1" applyFill="1" applyBorder="1" applyAlignment="1" applyProtection="1">
      <alignment horizontal="center" vertical="top" wrapText="1" readingOrder="1"/>
      <protection locked="0"/>
    </xf>
    <xf numFmtId="166" fontId="4" fillId="0" borderId="186" xfId="0" applyNumberFormat="1" applyFont="1" applyFill="1" applyBorder="1" applyAlignment="1" applyProtection="1">
      <alignment vertical="top" wrapText="1" readingOrder="1"/>
      <protection locked="0"/>
    </xf>
    <xf numFmtId="0" fontId="7" fillId="0" borderId="186" xfId="0" applyFont="1" applyFill="1" applyBorder="1" applyAlignment="1" applyProtection="1">
      <alignment horizontal="left" vertical="top" wrapText="1" readingOrder="1"/>
      <protection locked="0"/>
    </xf>
    <xf numFmtId="49" fontId="7" fillId="0" borderId="186" xfId="0" applyNumberFormat="1" applyFont="1" applyFill="1" applyBorder="1" applyAlignment="1" applyProtection="1">
      <alignment horizontal="center" vertical="top" wrapText="1" readingOrder="1"/>
      <protection locked="0"/>
    </xf>
    <xf numFmtId="14" fontId="4" fillId="0" borderId="186" xfId="0" applyNumberFormat="1" applyFont="1" applyFill="1" applyBorder="1" applyAlignment="1" applyProtection="1">
      <alignment horizontal="center" vertical="top" wrapText="1" shrinkToFit="1"/>
      <protection locked="0"/>
    </xf>
    <xf numFmtId="164" fontId="7" fillId="0" borderId="186" xfId="0" applyNumberFormat="1" applyFont="1" applyFill="1" applyBorder="1" applyAlignment="1" applyProtection="1">
      <alignment vertical="top" wrapText="1" readingOrder="1"/>
      <protection locked="0"/>
    </xf>
    <xf numFmtId="49" fontId="4" fillId="0" borderId="171" xfId="0" applyNumberFormat="1" applyFont="1" applyFill="1" applyBorder="1" applyAlignment="1" applyProtection="1">
      <alignment horizontal="center" vertical="top" wrapText="1" readingOrder="1"/>
      <protection locked="0"/>
    </xf>
    <xf numFmtId="166" fontId="4" fillId="0" borderId="171" xfId="0" applyNumberFormat="1" applyFont="1" applyFill="1" applyBorder="1" applyAlignment="1" applyProtection="1">
      <alignment vertical="top" wrapText="1" readingOrder="1"/>
      <protection locked="0"/>
    </xf>
    <xf numFmtId="0" fontId="4" fillId="0" borderId="186" xfId="0" applyFont="1" applyFill="1" applyBorder="1" applyAlignment="1" applyProtection="1">
      <alignment vertical="top" wrapText="1" readingOrder="1"/>
      <protection locked="0"/>
    </xf>
    <xf numFmtId="0" fontId="4" fillId="0" borderId="54" xfId="0" applyFont="1" applyFill="1" applyBorder="1" applyAlignment="1" applyProtection="1">
      <alignment horizontal="left" vertical="top" wrapText="1" readingOrder="1"/>
      <protection locked="0"/>
    </xf>
    <xf numFmtId="0" fontId="4" fillId="0" borderId="54" xfId="1" applyNumberFormat="1" applyFont="1" applyFill="1" applyBorder="1" applyAlignment="1">
      <alignment horizontal="center" vertical="top" wrapText="1"/>
    </xf>
    <xf numFmtId="0" fontId="4" fillId="0" borderId="178" xfId="1" applyNumberFormat="1" applyFont="1" applyFill="1" applyBorder="1" applyAlignment="1">
      <alignment horizontal="center" vertical="top" wrapText="1"/>
    </xf>
    <xf numFmtId="164" fontId="4" fillId="0" borderId="171" xfId="0" applyNumberFormat="1" applyFont="1" applyFill="1" applyBorder="1" applyAlignment="1" applyProtection="1">
      <alignment vertical="top" wrapText="1" readingOrder="1"/>
      <protection locked="0"/>
    </xf>
    <xf numFmtId="0" fontId="7" fillId="0" borderId="175" xfId="0" applyFont="1" applyFill="1" applyBorder="1" applyAlignment="1" applyProtection="1">
      <alignment horizontal="center" vertical="top" wrapText="1" readingOrder="1"/>
      <protection locked="0"/>
    </xf>
    <xf numFmtId="0" fontId="9" fillId="0" borderId="175" xfId="0" applyNumberFormat="1" applyFont="1" applyFill="1" applyBorder="1" applyAlignment="1" applyProtection="1">
      <alignment horizontal="center" vertical="top" wrapText="1" shrinkToFit="1"/>
      <protection locked="0"/>
    </xf>
    <xf numFmtId="0" fontId="7" fillId="0" borderId="175" xfId="0" applyNumberFormat="1" applyFont="1" applyFill="1" applyBorder="1" applyAlignment="1" applyProtection="1">
      <alignment horizontal="center" vertical="top" wrapText="1" shrinkToFit="1"/>
      <protection locked="0"/>
    </xf>
    <xf numFmtId="14" fontId="7" fillId="0" borderId="175" xfId="0" applyNumberFormat="1" applyFont="1" applyFill="1" applyBorder="1" applyAlignment="1" applyProtection="1">
      <alignment horizontal="center" vertical="top" wrapText="1" shrinkToFit="1"/>
      <protection locked="0"/>
    </xf>
    <xf numFmtId="164" fontId="7" fillId="0" borderId="175" xfId="0" applyNumberFormat="1" applyFont="1" applyFill="1" applyBorder="1" applyAlignment="1" applyProtection="1">
      <alignment vertical="top" wrapText="1" readingOrder="1"/>
      <protection locked="0"/>
    </xf>
    <xf numFmtId="0" fontId="7" fillId="0" borderId="171" xfId="0" applyNumberFormat="1" applyFont="1" applyFill="1" applyBorder="1" applyAlignment="1" applyProtection="1">
      <alignment horizontal="center" vertical="top" wrapText="1" shrinkToFit="1"/>
      <protection locked="0"/>
    </xf>
    <xf numFmtId="14" fontId="7" fillId="0" borderId="171" xfId="0" applyNumberFormat="1" applyFont="1" applyFill="1" applyBorder="1" applyAlignment="1" applyProtection="1">
      <alignment horizontal="center" vertical="top" wrapText="1" shrinkToFit="1"/>
      <protection locked="0"/>
    </xf>
    <xf numFmtId="4" fontId="4" fillId="0" borderId="178" xfId="0" applyNumberFormat="1" applyFont="1" applyFill="1" applyBorder="1" applyAlignment="1" applyProtection="1">
      <alignment vertical="top" wrapText="1" readingOrder="1"/>
      <protection locked="0"/>
    </xf>
    <xf numFmtId="0" fontId="4" fillId="0" borderId="177" xfId="0" applyNumberFormat="1" applyFont="1" applyFill="1" applyBorder="1" applyAlignment="1" applyProtection="1">
      <alignment vertical="top" wrapText="1" shrinkToFit="1"/>
      <protection locked="0"/>
    </xf>
    <xf numFmtId="14" fontId="4" fillId="0" borderId="177" xfId="0" applyNumberFormat="1" applyFont="1" applyFill="1" applyBorder="1" applyAlignment="1" applyProtection="1">
      <alignment vertical="top" wrapText="1" shrinkToFit="1"/>
      <protection locked="0"/>
    </xf>
    <xf numFmtId="0" fontId="4" fillId="0" borderId="178" xfId="0" applyNumberFormat="1" applyFont="1" applyFill="1" applyBorder="1" applyAlignment="1" applyProtection="1">
      <alignment vertical="top" wrapText="1" shrinkToFit="1"/>
      <protection locked="0"/>
    </xf>
    <xf numFmtId="14" fontId="4" fillId="0" borderId="178" xfId="0" applyNumberFormat="1" applyFont="1" applyFill="1" applyBorder="1" applyAlignment="1" applyProtection="1">
      <alignment vertical="top" wrapText="1" shrinkToFit="1"/>
      <protection locked="0"/>
    </xf>
    <xf numFmtId="49" fontId="4" fillId="0" borderId="177" xfId="0" applyNumberFormat="1" applyFont="1" applyFill="1" applyBorder="1" applyAlignment="1" applyProtection="1">
      <alignment horizontal="center" vertical="top" wrapText="1" readingOrder="1"/>
      <protection locked="0"/>
    </xf>
    <xf numFmtId="164" fontId="4" fillId="0" borderId="177" xfId="0" applyNumberFormat="1" applyFont="1" applyFill="1" applyBorder="1" applyAlignment="1" applyProtection="1">
      <alignment vertical="top" wrapText="1" readingOrder="1"/>
      <protection locked="0"/>
    </xf>
    <xf numFmtId="0" fontId="13" fillId="0" borderId="186" xfId="0" applyFont="1" applyFill="1" applyBorder="1" applyAlignment="1" applyProtection="1">
      <alignment vertical="top" wrapText="1" readingOrder="1"/>
      <protection locked="0"/>
    </xf>
    <xf numFmtId="164" fontId="4" fillId="0" borderId="186" xfId="0" applyNumberFormat="1" applyFont="1" applyFill="1" applyBorder="1" applyAlignment="1" applyProtection="1">
      <alignment vertical="top" wrapText="1" readingOrder="1"/>
      <protection locked="0"/>
    </xf>
    <xf numFmtId="4" fontId="4" fillId="0" borderId="186" xfId="0" applyNumberFormat="1" applyFont="1" applyFill="1" applyBorder="1" applyAlignment="1" applyProtection="1">
      <alignment vertical="top" wrapText="1" readingOrder="1"/>
      <protection locked="0"/>
    </xf>
    <xf numFmtId="4" fontId="4" fillId="0" borderId="180" xfId="0" applyNumberFormat="1" applyFont="1" applyFill="1" applyBorder="1" applyAlignment="1" applyProtection="1">
      <alignment vertical="top" wrapText="1" readingOrder="1"/>
      <protection locked="0"/>
    </xf>
    <xf numFmtId="0" fontId="4" fillId="0" borderId="185" xfId="0" applyFont="1" applyFill="1" applyBorder="1" applyAlignment="1" applyProtection="1">
      <alignment horizontal="left" vertical="top" wrapText="1" readingOrder="1"/>
      <protection locked="0"/>
    </xf>
    <xf numFmtId="0" fontId="4" fillId="0" borderId="185" xfId="0" applyFont="1" applyFill="1" applyBorder="1" applyAlignment="1" applyProtection="1">
      <alignment horizontal="center" vertical="top" wrapText="1" readingOrder="1"/>
      <protection locked="0"/>
    </xf>
    <xf numFmtId="0" fontId="6" fillId="0" borderId="185" xfId="0" applyNumberFormat="1" applyFont="1" applyFill="1" applyBorder="1" applyAlignment="1" applyProtection="1">
      <alignment horizontal="center" vertical="top" wrapText="1"/>
    </xf>
    <xf numFmtId="49" fontId="4" fillId="0" borderId="187" xfId="0" applyNumberFormat="1" applyFont="1" applyFill="1" applyBorder="1" applyAlignment="1" applyProtection="1">
      <alignment horizontal="center" vertical="top" wrapText="1" readingOrder="1"/>
      <protection locked="0"/>
    </xf>
    <xf numFmtId="0" fontId="4" fillId="0" borderId="185" xfId="0" applyFont="1" applyFill="1" applyBorder="1" applyAlignment="1">
      <alignment horizontal="center" vertical="top" wrapText="1"/>
    </xf>
    <xf numFmtId="14" fontId="4" fillId="0" borderId="5" xfId="0" applyNumberFormat="1" applyFont="1" applyFill="1" applyBorder="1" applyAlignment="1" applyProtection="1">
      <alignment vertical="top" wrapText="1" shrinkToFit="1"/>
      <protection locked="0"/>
    </xf>
    <xf numFmtId="0" fontId="4" fillId="0" borderId="188" xfId="0" applyFont="1" applyFill="1" applyBorder="1" applyAlignment="1" applyProtection="1">
      <alignment vertical="top" wrapText="1" readingOrder="1"/>
      <protection locked="0"/>
    </xf>
    <xf numFmtId="0" fontId="4" fillId="0" borderId="188" xfId="0" applyFont="1" applyFill="1" applyBorder="1" applyAlignment="1" applyProtection="1">
      <alignment horizontal="center" vertical="top" wrapText="1" readingOrder="1"/>
      <protection locked="0"/>
    </xf>
    <xf numFmtId="49" fontId="4" fillId="0" borderId="188" xfId="0" applyNumberFormat="1" applyFont="1" applyFill="1" applyBorder="1" applyAlignment="1" applyProtection="1">
      <alignment horizontal="center" vertical="top" wrapText="1" readingOrder="1"/>
      <protection locked="0"/>
    </xf>
    <xf numFmtId="164" fontId="4" fillId="0" borderId="188" xfId="0" applyNumberFormat="1" applyFont="1" applyFill="1" applyBorder="1" applyAlignment="1" applyProtection="1">
      <alignment vertical="top" wrapText="1" readingOrder="1"/>
      <protection locked="0"/>
    </xf>
    <xf numFmtId="0" fontId="4" fillId="0" borderId="178" xfId="0" applyFont="1" applyFill="1" applyBorder="1" applyAlignment="1" applyProtection="1">
      <alignment vertical="top" wrapText="1" readingOrder="1"/>
      <protection locked="0"/>
    </xf>
    <xf numFmtId="0" fontId="4" fillId="0" borderId="189" xfId="0" applyFont="1" applyFill="1" applyBorder="1" applyAlignment="1" applyProtection="1">
      <alignment vertical="top" wrapText="1" readingOrder="1"/>
      <protection locked="0"/>
    </xf>
    <xf numFmtId="166" fontId="4" fillId="0" borderId="189" xfId="0" applyNumberFormat="1" applyFont="1" applyFill="1" applyBorder="1" applyAlignment="1" applyProtection="1">
      <alignment vertical="top" wrapText="1" readingOrder="1"/>
      <protection locked="0"/>
    </xf>
    <xf numFmtId="0" fontId="4" fillId="0" borderId="5" xfId="0" applyFont="1" applyFill="1" applyBorder="1" applyAlignment="1">
      <alignment horizontal="center" vertical="top" wrapText="1"/>
    </xf>
    <xf numFmtId="0" fontId="4" fillId="0" borderId="190" xfId="0" applyFont="1" applyFill="1" applyBorder="1" applyAlignment="1" applyProtection="1">
      <alignment vertical="top" wrapText="1" readingOrder="1"/>
      <protection locked="0"/>
    </xf>
    <xf numFmtId="49" fontId="7" fillId="0" borderId="11" xfId="0" applyNumberFormat="1" applyFont="1" applyFill="1" applyBorder="1" applyAlignment="1" applyProtection="1">
      <alignment horizontal="center" vertical="top" wrapText="1" readingOrder="1"/>
      <protection locked="0"/>
    </xf>
    <xf numFmtId="49" fontId="7" fillId="0" borderId="20" xfId="0" applyNumberFormat="1" applyFont="1" applyFill="1" applyBorder="1" applyAlignment="1" applyProtection="1">
      <alignment horizontal="center" vertical="top" wrapText="1" readingOrder="1"/>
      <protection locked="0"/>
    </xf>
    <xf numFmtId="0" fontId="7" fillId="0" borderId="11" xfId="0" applyFont="1" applyFill="1" applyBorder="1" applyAlignment="1" applyProtection="1">
      <alignment horizontal="center" vertical="top" wrapText="1" readingOrder="1"/>
      <protection locked="0"/>
    </xf>
    <xf numFmtId="0" fontId="4" fillId="0" borderId="86" xfId="0" applyNumberFormat="1" applyFont="1" applyFill="1" applyBorder="1" applyAlignment="1" applyProtection="1">
      <alignment horizontal="center" vertical="top" wrapText="1" shrinkToFit="1"/>
      <protection locked="0"/>
    </xf>
    <xf numFmtId="0" fontId="6" fillId="0" borderId="5" xfId="0" applyNumberFormat="1" applyFont="1" applyFill="1" applyBorder="1" applyAlignment="1" applyProtection="1">
      <alignment horizontal="center" vertical="top" wrapText="1" shrinkToFit="1" readingOrder="1"/>
      <protection locked="0"/>
    </xf>
    <xf numFmtId="0" fontId="6" fillId="0" borderId="5" xfId="0" applyNumberFormat="1" applyFont="1" applyFill="1" applyBorder="1" applyAlignment="1" applyProtection="1">
      <alignment horizontal="center" vertical="top" wrapText="1"/>
    </xf>
    <xf numFmtId="0" fontId="4" fillId="0" borderId="191" xfId="0" applyNumberFormat="1" applyFont="1" applyFill="1" applyBorder="1" applyAlignment="1" applyProtection="1">
      <alignment horizontal="center" vertical="top" wrapText="1" shrinkToFit="1"/>
      <protection locked="0"/>
    </xf>
    <xf numFmtId="14" fontId="4" fillId="0" borderId="191" xfId="0" applyNumberFormat="1" applyFont="1" applyFill="1" applyBorder="1" applyAlignment="1" applyProtection="1">
      <alignment horizontal="center" vertical="top" wrapText="1" shrinkToFit="1"/>
      <protection locked="0"/>
    </xf>
    <xf numFmtId="49" fontId="7" fillId="0" borderId="191" xfId="0" applyNumberFormat="1" applyFont="1" applyFill="1" applyBorder="1" applyAlignment="1" applyProtection="1">
      <alignment horizontal="center" vertical="top" wrapText="1" readingOrder="1"/>
      <protection locked="0"/>
    </xf>
    <xf numFmtId="4" fontId="7" fillId="0" borderId="191" xfId="0" applyNumberFormat="1" applyFont="1" applyFill="1" applyBorder="1" applyAlignment="1" applyProtection="1">
      <alignment vertical="top" wrapText="1" readingOrder="1"/>
      <protection locked="0"/>
    </xf>
    <xf numFmtId="49" fontId="7" fillId="0" borderId="189" xfId="0" applyNumberFormat="1" applyFont="1" applyFill="1" applyBorder="1" applyAlignment="1" applyProtection="1">
      <alignment horizontal="center" vertical="top" wrapText="1" readingOrder="1"/>
      <protection locked="0"/>
    </xf>
    <xf numFmtId="4" fontId="7" fillId="0" borderId="189" xfId="0" applyNumberFormat="1" applyFont="1" applyFill="1" applyBorder="1" applyAlignment="1" applyProtection="1">
      <alignment vertical="top" wrapText="1" readingOrder="1"/>
      <protection locked="0"/>
    </xf>
    <xf numFmtId="0" fontId="7" fillId="0" borderId="189" xfId="0" applyFont="1" applyFill="1" applyBorder="1" applyAlignment="1" applyProtection="1">
      <alignment vertical="top" wrapText="1" readingOrder="1"/>
      <protection locked="0"/>
    </xf>
    <xf numFmtId="164" fontId="7" fillId="0" borderId="192" xfId="0" applyNumberFormat="1" applyFont="1" applyFill="1" applyBorder="1" applyAlignment="1" applyProtection="1">
      <alignment vertical="top" wrapText="1" readingOrder="1"/>
      <protection locked="0"/>
    </xf>
    <xf numFmtId="49" fontId="11" fillId="0" borderId="5" xfId="2" applyNumberFormat="1" applyFont="1" applyFill="1" applyBorder="1" applyAlignment="1">
      <alignment horizontal="left" vertical="center"/>
    </xf>
    <xf numFmtId="49" fontId="1" fillId="0" borderId="0" xfId="2" applyNumberFormat="1" applyFill="1" applyAlignment="1">
      <alignment horizontal="center" vertical="center"/>
    </xf>
    <xf numFmtId="49" fontId="11" fillId="0" borderId="182" xfId="2" applyNumberFormat="1" applyFont="1" applyFill="1" applyBorder="1" applyAlignment="1">
      <alignment horizontal="left"/>
    </xf>
    <xf numFmtId="4" fontId="11" fillId="0" borderId="182" xfId="2" applyNumberFormat="1" applyFont="1" applyFill="1" applyBorder="1"/>
    <xf numFmtId="167" fontId="11" fillId="0" borderId="182" xfId="2" applyNumberFormat="1" applyFont="1" applyFill="1" applyBorder="1"/>
    <xf numFmtId="0" fontId="1" fillId="0" borderId="0" xfId="2" applyFill="1"/>
    <xf numFmtId="0" fontId="1" fillId="0" borderId="0" xfId="2" applyFont="1" applyFill="1"/>
    <xf numFmtId="49" fontId="1" fillId="0" borderId="0" xfId="2" applyNumberFormat="1" applyFill="1" applyAlignment="1">
      <alignment horizontal="left"/>
    </xf>
    <xf numFmtId="49" fontId="1" fillId="0" borderId="0" xfId="2" applyNumberFormat="1" applyFill="1"/>
    <xf numFmtId="166" fontId="18" fillId="0" borderId="0" xfId="2" applyNumberFormat="1" applyFont="1" applyFill="1"/>
    <xf numFmtId="4" fontId="18" fillId="0" borderId="0" xfId="2" applyNumberFormat="1" applyFont="1" applyFill="1"/>
    <xf numFmtId="4" fontId="19" fillId="0" borderId="0" xfId="2" applyNumberFormat="1" applyFont="1" applyFill="1"/>
    <xf numFmtId="4" fontId="20" fillId="0" borderId="0" xfId="2" applyNumberFormat="1" applyFont="1" applyFill="1"/>
    <xf numFmtId="4" fontId="11" fillId="0" borderId="0" xfId="2" applyNumberFormat="1" applyFont="1" applyFill="1"/>
    <xf numFmtId="49" fontId="7" fillId="0" borderId="187" xfId="0" applyNumberFormat="1" applyFont="1" applyFill="1" applyBorder="1" applyAlignment="1" applyProtection="1">
      <alignment horizontal="center" vertical="top" wrapText="1" readingOrder="1"/>
      <protection locked="0"/>
    </xf>
    <xf numFmtId="49" fontId="7" fillId="0" borderId="182" xfId="0" applyNumberFormat="1" applyFont="1" applyFill="1" applyBorder="1" applyAlignment="1" applyProtection="1">
      <alignment horizontal="center" vertical="top" wrapText="1" readingOrder="1"/>
      <protection locked="0"/>
    </xf>
    <xf numFmtId="164" fontId="7" fillId="0" borderId="182" xfId="0" applyNumberFormat="1" applyFont="1" applyFill="1" applyBorder="1" applyAlignment="1" applyProtection="1">
      <alignment vertical="top" wrapText="1" readingOrder="1"/>
      <protection locked="0"/>
    </xf>
    <xf numFmtId="0" fontId="4" fillId="0" borderId="182" xfId="1" applyNumberFormat="1" applyFont="1" applyFill="1" applyBorder="1" applyAlignment="1">
      <alignment horizontal="center" vertical="center" wrapText="1"/>
    </xf>
    <xf numFmtId="0" fontId="4" fillId="0" borderId="182" xfId="0" applyNumberFormat="1" applyFont="1" applyFill="1" applyBorder="1" applyAlignment="1" applyProtection="1">
      <alignment vertical="top" wrapText="1" shrinkToFit="1"/>
      <protection locked="0"/>
    </xf>
    <xf numFmtId="49" fontId="11" fillId="0" borderId="182" xfId="2" applyNumberFormat="1" applyFont="1" applyFill="1" applyBorder="1" applyAlignment="1">
      <alignment horizontal="left" vertical="center"/>
    </xf>
    <xf numFmtId="4" fontId="1" fillId="0" borderId="0" xfId="2" applyNumberFormat="1" applyFill="1"/>
    <xf numFmtId="0" fontId="4" fillId="0" borderId="34" xfId="0" applyFont="1" applyFill="1" applyBorder="1" applyAlignment="1" applyProtection="1">
      <alignment horizontal="left" vertical="top" wrapText="1" readingOrder="1"/>
      <protection locked="0"/>
    </xf>
    <xf numFmtId="0" fontId="4" fillId="0" borderId="177" xfId="0" applyNumberFormat="1" applyFont="1" applyFill="1" applyBorder="1" applyAlignment="1" applyProtection="1">
      <alignment horizontal="center" vertical="top" wrapText="1" shrinkToFit="1"/>
      <protection locked="0"/>
    </xf>
    <xf numFmtId="0" fontId="6" fillId="0" borderId="191" xfId="0" applyNumberFormat="1" applyFont="1" applyFill="1" applyBorder="1" applyAlignment="1" applyProtection="1">
      <alignment horizontal="center" vertical="top" wrapText="1"/>
    </xf>
    <xf numFmtId="0" fontId="4" fillId="0" borderId="0" xfId="0" applyFont="1" applyFill="1" applyBorder="1" applyAlignment="1" applyProtection="1">
      <alignment horizontal="center" vertical="top" wrapText="1" readingOrder="1"/>
      <protection locked="0"/>
    </xf>
    <xf numFmtId="164" fontId="7" fillId="0" borderId="70" xfId="0" applyNumberFormat="1" applyFont="1" applyFill="1" applyBorder="1" applyAlignment="1" applyProtection="1">
      <alignment vertical="top" wrapText="1" readingOrder="1"/>
      <protection locked="0"/>
    </xf>
    <xf numFmtId="164" fontId="4" fillId="0" borderId="65" xfId="0" applyNumberFormat="1" applyFont="1" applyFill="1" applyBorder="1" applyAlignment="1" applyProtection="1">
      <alignment vertical="top" wrapText="1" readingOrder="1"/>
      <protection locked="0"/>
    </xf>
    <xf numFmtId="0" fontId="4" fillId="0" borderId="133" xfId="0" applyFont="1" applyFill="1" applyBorder="1" applyAlignment="1" applyProtection="1">
      <alignment vertical="top" wrapText="1" readingOrder="1"/>
      <protection locked="0"/>
    </xf>
    <xf numFmtId="49" fontId="7" fillId="0" borderId="133" xfId="0" applyNumberFormat="1" applyFont="1" applyFill="1" applyBorder="1" applyAlignment="1" applyProtection="1">
      <alignment horizontal="center" vertical="top" wrapText="1" readingOrder="1"/>
      <protection locked="0"/>
    </xf>
    <xf numFmtId="0" fontId="13" fillId="0" borderId="133" xfId="0" applyFont="1" applyFill="1" applyBorder="1" applyAlignment="1" applyProtection="1">
      <alignment horizontal="left" vertical="top" wrapText="1" readingOrder="1"/>
      <protection locked="0"/>
    </xf>
    <xf numFmtId="164" fontId="4" fillId="0" borderId="155" xfId="0" applyNumberFormat="1" applyFont="1" applyFill="1" applyBorder="1" applyAlignment="1" applyProtection="1">
      <alignment vertical="top" wrapText="1" readingOrder="1"/>
      <protection locked="0"/>
    </xf>
    <xf numFmtId="164" fontId="7" fillId="0" borderId="144" xfId="0" applyNumberFormat="1" applyFont="1" applyFill="1" applyBorder="1" applyAlignment="1" applyProtection="1">
      <alignment vertical="top" wrapText="1" readingOrder="1"/>
      <protection locked="0"/>
    </xf>
    <xf numFmtId="164" fontId="4" fillId="0" borderId="158" xfId="0" applyNumberFormat="1" applyFont="1" applyFill="1" applyBorder="1" applyAlignment="1" applyProtection="1">
      <alignment vertical="top" wrapText="1" readingOrder="1"/>
      <protection locked="0"/>
    </xf>
    <xf numFmtId="164" fontId="4" fillId="0" borderId="159" xfId="0" applyNumberFormat="1" applyFont="1" applyFill="1" applyBorder="1" applyAlignment="1" applyProtection="1">
      <alignment vertical="top" wrapText="1" readingOrder="1"/>
      <protection locked="0"/>
    </xf>
    <xf numFmtId="164" fontId="4" fillId="0" borderId="8" xfId="0" applyNumberFormat="1" applyFont="1" applyFill="1" applyBorder="1" applyAlignment="1" applyProtection="1">
      <alignment vertical="top" wrapText="1" readingOrder="1"/>
      <protection locked="0"/>
    </xf>
    <xf numFmtId="164" fontId="4" fillId="0" borderId="152" xfId="0" applyNumberFormat="1" applyFont="1" applyFill="1" applyBorder="1" applyAlignment="1" applyProtection="1">
      <alignment vertical="top" wrapText="1" readingOrder="1"/>
      <protection locked="0"/>
    </xf>
    <xf numFmtId="164" fontId="4" fillId="0" borderId="2" xfId="0" applyNumberFormat="1" applyFont="1" applyFill="1" applyBorder="1" applyAlignment="1" applyProtection="1">
      <alignment vertical="top" wrapText="1" readingOrder="1"/>
      <protection locked="0"/>
    </xf>
    <xf numFmtId="166" fontId="4" fillId="0" borderId="162" xfId="0" applyNumberFormat="1" applyFont="1" applyFill="1" applyBorder="1" applyAlignment="1" applyProtection="1">
      <alignment vertical="top" wrapText="1" readingOrder="1"/>
      <protection locked="0"/>
    </xf>
    <xf numFmtId="164" fontId="4" fillId="0" borderId="145" xfId="0" applyNumberFormat="1" applyFont="1" applyFill="1" applyBorder="1" applyAlignment="1" applyProtection="1">
      <alignment vertical="top" wrapText="1" readingOrder="1"/>
      <protection locked="0"/>
    </xf>
    <xf numFmtId="164" fontId="13" fillId="0" borderId="122" xfId="0" applyNumberFormat="1" applyFont="1" applyFill="1" applyBorder="1" applyAlignment="1" applyProtection="1">
      <alignment vertical="top" wrapText="1" readingOrder="1"/>
      <protection locked="0"/>
    </xf>
    <xf numFmtId="166" fontId="4" fillId="0" borderId="20" xfId="0" applyNumberFormat="1" applyFont="1" applyFill="1" applyBorder="1" applyAlignment="1" applyProtection="1">
      <alignment vertical="top" wrapText="1" readingOrder="1"/>
      <protection locked="0"/>
    </xf>
    <xf numFmtId="166" fontId="4" fillId="0" borderId="141" xfId="0" applyNumberFormat="1" applyFont="1" applyFill="1" applyBorder="1" applyAlignment="1" applyProtection="1">
      <alignment vertical="top" wrapText="1" readingOrder="1"/>
      <protection locked="0"/>
    </xf>
    <xf numFmtId="166" fontId="4" fillId="0" borderId="122" xfId="0" applyNumberFormat="1" applyFont="1" applyFill="1" applyBorder="1" applyAlignment="1" applyProtection="1">
      <alignment vertical="top" wrapText="1" readingOrder="1"/>
      <protection locked="0"/>
    </xf>
    <xf numFmtId="164" fontId="4" fillId="0" borderId="147" xfId="0" applyNumberFormat="1" applyFont="1" applyFill="1" applyBorder="1" applyAlignment="1" applyProtection="1">
      <alignment vertical="top" wrapText="1" readingOrder="1"/>
      <protection locked="0"/>
    </xf>
    <xf numFmtId="164" fontId="4" fillId="0" borderId="122" xfId="0" applyNumberFormat="1" applyFont="1" applyFill="1" applyBorder="1" applyAlignment="1" applyProtection="1">
      <alignment vertical="top" wrapText="1" readingOrder="1"/>
      <protection locked="0"/>
    </xf>
    <xf numFmtId="164" fontId="4" fillId="0" borderId="112" xfId="0" applyNumberFormat="1" applyFont="1" applyFill="1" applyBorder="1" applyAlignment="1" applyProtection="1">
      <alignment vertical="top" wrapText="1" readingOrder="1"/>
      <protection locked="0"/>
    </xf>
    <xf numFmtId="164" fontId="4" fillId="0" borderId="122" xfId="0" applyNumberFormat="1" applyFont="1" applyFill="1" applyBorder="1" applyAlignment="1" applyProtection="1">
      <alignment horizontal="right" vertical="top" wrapText="1" readingOrder="1"/>
      <protection locked="0"/>
    </xf>
    <xf numFmtId="164" fontId="4" fillId="0" borderId="130" xfId="0" applyNumberFormat="1" applyFont="1" applyFill="1" applyBorder="1" applyAlignment="1" applyProtection="1">
      <alignment horizontal="right" vertical="top" wrapText="1" readingOrder="1"/>
      <protection locked="0"/>
    </xf>
    <xf numFmtId="166" fontId="4" fillId="0" borderId="122" xfId="0" applyNumberFormat="1" applyFont="1" applyFill="1" applyBorder="1" applyAlignment="1" applyProtection="1">
      <alignment horizontal="right" vertical="top" wrapText="1" readingOrder="1"/>
      <protection locked="0"/>
    </xf>
    <xf numFmtId="166" fontId="4" fillId="0" borderId="130" xfId="0" applyNumberFormat="1" applyFont="1" applyFill="1" applyBorder="1" applyAlignment="1" applyProtection="1">
      <alignment horizontal="right" vertical="top" wrapText="1" readingOrder="1"/>
      <protection locked="0"/>
    </xf>
    <xf numFmtId="0" fontId="2" fillId="0" borderId="0" xfId="0" applyFont="1" applyFill="1" applyBorder="1" applyAlignment="1">
      <alignment horizontal="center" vertical="top"/>
    </xf>
    <xf numFmtId="0" fontId="3" fillId="0" borderId="171" xfId="0" applyNumberFormat="1" applyFont="1" applyFill="1" applyBorder="1" applyAlignment="1" applyProtection="1">
      <alignment vertical="top" wrapText="1" shrinkToFit="1"/>
      <protection locked="0"/>
    </xf>
    <xf numFmtId="0" fontId="7" fillId="0" borderId="191" xfId="0" applyFont="1" applyFill="1" applyBorder="1" applyAlignment="1" applyProtection="1">
      <alignment vertical="top" wrapText="1" readingOrder="1"/>
      <protection locked="0"/>
    </xf>
    <xf numFmtId="0" fontId="7" fillId="0" borderId="195" xfId="0" applyFont="1" applyFill="1" applyBorder="1" applyAlignment="1" applyProtection="1">
      <alignment vertical="top" wrapText="1" readingOrder="1"/>
      <protection locked="0"/>
    </xf>
    <xf numFmtId="0" fontId="4" fillId="0" borderId="1" xfId="0" applyNumberFormat="1" applyFont="1" applyFill="1" applyBorder="1" applyAlignment="1" applyProtection="1">
      <alignment horizontal="center" vertical="top" wrapText="1" shrinkToFit="1"/>
      <protection locked="0"/>
    </xf>
    <xf numFmtId="14" fontId="4" fillId="0" borderId="9" xfId="0" applyNumberFormat="1" applyFont="1" applyFill="1" applyBorder="1" applyAlignment="1" applyProtection="1">
      <alignment horizontal="center" vertical="top" wrapText="1" shrinkToFit="1"/>
      <protection locked="0"/>
    </xf>
    <xf numFmtId="0" fontId="6" fillId="0" borderId="197" xfId="0" applyNumberFormat="1" applyFont="1" applyFill="1" applyBorder="1" applyAlignment="1" applyProtection="1">
      <alignment vertical="top" wrapText="1" shrinkToFit="1"/>
      <protection locked="0"/>
    </xf>
    <xf numFmtId="0" fontId="4" fillId="0" borderId="160" xfId="0" applyNumberFormat="1" applyFont="1" applyFill="1" applyBorder="1" applyAlignment="1" applyProtection="1">
      <alignment horizontal="center" vertical="top" wrapText="1" shrinkToFit="1"/>
      <protection locked="0"/>
    </xf>
    <xf numFmtId="0" fontId="4" fillId="0" borderId="160" xfId="0" applyFont="1" applyFill="1" applyBorder="1" applyAlignment="1" applyProtection="1">
      <alignment horizontal="center" vertical="top" wrapText="1" readingOrder="1"/>
      <protection locked="0"/>
    </xf>
    <xf numFmtId="0" fontId="4" fillId="0" borderId="64" xfId="1" applyNumberFormat="1" applyFont="1" applyFill="1" applyBorder="1" applyAlignment="1">
      <alignment horizontal="center" vertical="top" wrapText="1"/>
    </xf>
    <xf numFmtId="0" fontId="6" fillId="0" borderId="195" xfId="0" applyNumberFormat="1" applyFont="1" applyFill="1" applyBorder="1" applyAlignment="1" applyProtection="1">
      <alignment horizontal="center" vertical="top" wrapText="1" shrinkToFit="1" readingOrder="1"/>
      <protection locked="0"/>
    </xf>
    <xf numFmtId="0" fontId="4" fillId="0" borderId="202" xfId="0" applyNumberFormat="1" applyFont="1" applyFill="1" applyBorder="1" applyAlignment="1" applyProtection="1">
      <alignment vertical="top" wrapText="1" shrinkToFit="1"/>
      <protection locked="0"/>
    </xf>
    <xf numFmtId="0" fontId="4" fillId="0" borderId="202" xfId="0" applyFont="1" applyFill="1" applyBorder="1" applyAlignment="1" applyProtection="1">
      <alignment vertical="top" wrapText="1" readingOrder="1"/>
      <protection locked="0"/>
    </xf>
    <xf numFmtId="0" fontId="4" fillId="0" borderId="153" xfId="0" applyFont="1" applyFill="1" applyBorder="1" applyAlignment="1" applyProtection="1">
      <alignment vertical="top" wrapText="1" readingOrder="1"/>
      <protection locked="0"/>
    </xf>
    <xf numFmtId="0" fontId="13" fillId="0" borderId="204" xfId="0" applyFont="1" applyFill="1" applyBorder="1" applyAlignment="1" applyProtection="1">
      <alignment horizontal="left" vertical="top" wrapText="1" readingOrder="1"/>
      <protection locked="0"/>
    </xf>
    <xf numFmtId="49" fontId="4" fillId="0" borderId="204" xfId="0" applyNumberFormat="1" applyFont="1" applyFill="1" applyBorder="1" applyAlignment="1" applyProtection="1">
      <alignment horizontal="center" vertical="top" wrapText="1" readingOrder="1"/>
      <protection locked="0"/>
    </xf>
    <xf numFmtId="14" fontId="4" fillId="0" borderId="204" xfId="0" applyNumberFormat="1" applyFont="1" applyFill="1" applyBorder="1" applyAlignment="1" applyProtection="1">
      <alignment horizontal="center" vertical="top" wrapText="1" shrinkToFit="1"/>
      <protection locked="0"/>
    </xf>
    <xf numFmtId="0" fontId="4" fillId="0" borderId="204" xfId="0" applyNumberFormat="1" applyFont="1" applyFill="1" applyBorder="1" applyAlignment="1" applyProtection="1">
      <alignment vertical="top" wrapText="1" shrinkToFit="1"/>
      <protection locked="0"/>
    </xf>
    <xf numFmtId="166" fontId="4" fillId="0" borderId="204" xfId="0" applyNumberFormat="1" applyFont="1" applyFill="1" applyBorder="1" applyAlignment="1" applyProtection="1">
      <alignment vertical="top" wrapText="1" readingOrder="1"/>
      <protection locked="0"/>
    </xf>
    <xf numFmtId="0" fontId="4" fillId="0" borderId="186" xfId="0" applyFont="1" applyFill="1" applyBorder="1" applyAlignment="1" applyProtection="1">
      <alignment horizontal="left" vertical="top" wrapText="1" readingOrder="1"/>
      <protection locked="0"/>
    </xf>
    <xf numFmtId="0" fontId="7" fillId="0" borderId="204" xfId="0" applyFont="1" applyFill="1" applyBorder="1" applyAlignment="1" applyProtection="1">
      <alignment horizontal="center" vertical="top" wrapText="1" readingOrder="1"/>
      <protection locked="0"/>
    </xf>
    <xf numFmtId="164" fontId="7" fillId="0" borderId="204" xfId="0" applyNumberFormat="1" applyFont="1" applyFill="1" applyBorder="1" applyAlignment="1" applyProtection="1">
      <alignment vertical="top" wrapText="1" readingOrder="1"/>
      <protection locked="0"/>
    </xf>
    <xf numFmtId="164" fontId="7" fillId="0" borderId="205" xfId="0" applyNumberFormat="1" applyFont="1" applyFill="1" applyBorder="1" applyAlignment="1" applyProtection="1">
      <alignment vertical="top" wrapText="1" readingOrder="1"/>
      <protection locked="0"/>
    </xf>
    <xf numFmtId="49" fontId="4" fillId="0" borderId="206" xfId="0" applyNumberFormat="1" applyFont="1" applyFill="1" applyBorder="1" applyAlignment="1" applyProtection="1">
      <alignment horizontal="center" vertical="top" wrapText="1" readingOrder="1"/>
      <protection locked="0"/>
    </xf>
    <xf numFmtId="166" fontId="4" fillId="0" borderId="206" xfId="0" applyNumberFormat="1" applyFont="1" applyFill="1" applyBorder="1" applyAlignment="1" applyProtection="1">
      <alignment vertical="top" wrapText="1" readingOrder="1"/>
      <protection locked="0"/>
    </xf>
    <xf numFmtId="0" fontId="13" fillId="0" borderId="204" xfId="0" applyFont="1" applyFill="1" applyBorder="1" applyAlignment="1" applyProtection="1">
      <alignment vertical="top" wrapText="1" readingOrder="1"/>
      <protection locked="0"/>
    </xf>
    <xf numFmtId="164" fontId="4" fillId="0" borderId="204" xfId="0" applyNumberFormat="1" applyFont="1" applyFill="1" applyBorder="1" applyAlignment="1" applyProtection="1">
      <alignment vertical="top" wrapText="1" readingOrder="1"/>
      <protection locked="0"/>
    </xf>
    <xf numFmtId="164" fontId="4" fillId="0" borderId="207" xfId="0" applyNumberFormat="1" applyFont="1" applyFill="1" applyBorder="1" applyAlignment="1" applyProtection="1">
      <alignment vertical="top" wrapText="1" readingOrder="1"/>
      <protection locked="0"/>
    </xf>
    <xf numFmtId="0" fontId="4" fillId="0" borderId="206" xfId="0" applyFont="1" applyFill="1" applyBorder="1" applyAlignment="1" applyProtection="1">
      <alignment horizontal="center" vertical="top" wrapText="1" readingOrder="1"/>
      <protection locked="0"/>
    </xf>
    <xf numFmtId="164" fontId="4" fillId="0" borderId="206" xfId="0" applyNumberFormat="1" applyFont="1" applyFill="1" applyBorder="1" applyAlignment="1" applyProtection="1">
      <alignment vertical="top" wrapText="1" readingOrder="1"/>
      <protection locked="0"/>
    </xf>
    <xf numFmtId="14" fontId="6" fillId="0" borderId="64" xfId="0" applyNumberFormat="1" applyFont="1" applyFill="1" applyBorder="1" applyAlignment="1" applyProtection="1">
      <alignment horizontal="center" vertical="top" wrapText="1"/>
    </xf>
    <xf numFmtId="0" fontId="4" fillId="0" borderId="64" xfId="0" applyFont="1" applyFill="1" applyBorder="1" applyAlignment="1" applyProtection="1">
      <alignment horizontal="center" vertical="top" wrapText="1"/>
      <protection locked="0"/>
    </xf>
    <xf numFmtId="0" fontId="4" fillId="0" borderId="206" xfId="0" applyFont="1" applyFill="1" applyBorder="1" applyAlignment="1" applyProtection="1">
      <alignment vertical="top" wrapText="1" readingOrder="1"/>
      <protection locked="0"/>
    </xf>
    <xf numFmtId="0" fontId="4" fillId="0" borderId="204" xfId="0" applyFont="1" applyFill="1" applyBorder="1" applyAlignment="1" applyProtection="1">
      <alignment horizontal="center" vertical="top" wrapText="1" readingOrder="1"/>
      <protection locked="0"/>
    </xf>
    <xf numFmtId="0" fontId="7" fillId="0" borderId="206" xfId="0" applyFont="1" applyFill="1" applyBorder="1" applyAlignment="1" applyProtection="1">
      <alignment horizontal="center" vertical="top" wrapText="1" readingOrder="1"/>
      <protection locked="0"/>
    </xf>
    <xf numFmtId="49" fontId="7" fillId="0" borderId="204" xfId="0" applyNumberFormat="1" applyFont="1" applyFill="1" applyBorder="1" applyAlignment="1" applyProtection="1">
      <alignment vertical="top" wrapText="1" readingOrder="1"/>
      <protection locked="0"/>
    </xf>
    <xf numFmtId="164" fontId="7" fillId="0" borderId="207" xfId="0" applyNumberFormat="1" applyFont="1" applyFill="1" applyBorder="1" applyAlignment="1" applyProtection="1">
      <alignment vertical="top" wrapText="1" readingOrder="1"/>
      <protection locked="0"/>
    </xf>
    <xf numFmtId="49" fontId="7" fillId="0" borderId="206" xfId="0" applyNumberFormat="1" applyFont="1" applyFill="1" applyBorder="1" applyAlignment="1" applyProtection="1">
      <alignment vertical="top" wrapText="1" readingOrder="1"/>
      <protection locked="0"/>
    </xf>
    <xf numFmtId="164" fontId="7" fillId="0" borderId="206" xfId="0" applyNumberFormat="1" applyFont="1" applyFill="1" applyBorder="1" applyAlignment="1" applyProtection="1">
      <alignment vertical="top" wrapText="1" readingOrder="1"/>
      <protection locked="0"/>
    </xf>
    <xf numFmtId="164" fontId="7" fillId="0" borderId="208" xfId="0" applyNumberFormat="1" applyFont="1" applyFill="1" applyBorder="1" applyAlignment="1" applyProtection="1">
      <alignment vertical="top" wrapText="1" readingOrder="1"/>
      <protection locked="0"/>
    </xf>
    <xf numFmtId="49" fontId="7" fillId="0" borderId="64" xfId="0" applyNumberFormat="1" applyFont="1" applyFill="1" applyBorder="1" applyAlignment="1" applyProtection="1">
      <alignment vertical="top" wrapText="1" readingOrder="1"/>
      <protection locked="0"/>
    </xf>
    <xf numFmtId="164" fontId="7" fillId="0" borderId="206" xfId="0" applyNumberFormat="1" applyFont="1" applyFill="1" applyBorder="1" applyAlignment="1" applyProtection="1">
      <alignment horizontal="right" vertical="top" wrapText="1" readingOrder="1"/>
      <protection locked="0"/>
    </xf>
    <xf numFmtId="0" fontId="7" fillId="0" borderId="203" xfId="0" applyFont="1" applyFill="1" applyBorder="1" applyAlignment="1" applyProtection="1">
      <alignment vertical="top" wrapText="1" readingOrder="1"/>
      <protection locked="0"/>
    </xf>
    <xf numFmtId="0" fontId="7" fillId="0" borderId="203" xfId="0" applyFont="1" applyFill="1" applyBorder="1" applyAlignment="1" applyProtection="1">
      <alignment horizontal="center" vertical="top" wrapText="1" readingOrder="1"/>
      <protection locked="0"/>
    </xf>
    <xf numFmtId="0" fontId="4" fillId="0" borderId="203" xfId="0" applyFont="1" applyFill="1" applyBorder="1" applyAlignment="1" applyProtection="1">
      <alignment horizontal="center" vertical="top" wrapText="1" readingOrder="1"/>
      <protection locked="0"/>
    </xf>
    <xf numFmtId="164" fontId="7" fillId="0" borderId="203" xfId="0" applyNumberFormat="1" applyFont="1" applyFill="1" applyBorder="1" applyAlignment="1" applyProtection="1">
      <alignment vertical="top" wrapText="1" readingOrder="1"/>
      <protection locked="0"/>
    </xf>
    <xf numFmtId="164" fontId="7" fillId="0" borderId="204" xfId="0" applyNumberFormat="1" applyFont="1" applyFill="1" applyBorder="1" applyAlignment="1" applyProtection="1">
      <alignment horizontal="right" vertical="top" wrapText="1" readingOrder="1"/>
      <protection locked="0"/>
    </xf>
    <xf numFmtId="164" fontId="4" fillId="0" borderId="64" xfId="0" applyNumberFormat="1" applyFont="1" applyFill="1" applyBorder="1" applyAlignment="1" applyProtection="1">
      <alignment horizontal="right" vertical="top" wrapText="1" readingOrder="1"/>
      <protection locked="0"/>
    </xf>
    <xf numFmtId="164" fontId="4" fillId="0" borderId="206" xfId="0" applyNumberFormat="1" applyFont="1" applyFill="1" applyBorder="1" applyAlignment="1" applyProtection="1">
      <alignment horizontal="right" vertical="top" wrapText="1" readingOrder="1"/>
      <protection locked="0"/>
    </xf>
    <xf numFmtId="164" fontId="4" fillId="0" borderId="208" xfId="0" applyNumberFormat="1" applyFont="1" applyFill="1" applyBorder="1" applyAlignment="1" applyProtection="1">
      <alignment vertical="top" wrapText="1" readingOrder="1"/>
      <protection locked="0"/>
    </xf>
    <xf numFmtId="49" fontId="7" fillId="0" borderId="203" xfId="0" applyNumberFormat="1" applyFont="1" applyFill="1" applyBorder="1" applyAlignment="1" applyProtection="1">
      <alignment horizontal="center" vertical="top" wrapText="1" readingOrder="1"/>
      <protection locked="0"/>
    </xf>
    <xf numFmtId="0" fontId="7" fillId="0" borderId="64" xfId="0" applyFont="1" applyFill="1" applyBorder="1" applyAlignment="1" applyProtection="1">
      <alignment horizontal="center" wrapText="1" readingOrder="1"/>
      <protection locked="0"/>
    </xf>
    <xf numFmtId="0" fontId="7" fillId="0" borderId="64" xfId="0" applyFont="1" applyFill="1" applyBorder="1" applyAlignment="1" applyProtection="1">
      <alignment wrapText="1" readingOrder="1"/>
      <protection locked="0"/>
    </xf>
    <xf numFmtId="164" fontId="4" fillId="0" borderId="64" xfId="0" applyNumberFormat="1" applyFont="1" applyFill="1" applyBorder="1" applyAlignment="1" applyProtection="1">
      <alignment wrapText="1" readingOrder="1"/>
      <protection locked="0"/>
    </xf>
    <xf numFmtId="0" fontId="7" fillId="0" borderId="0" xfId="0" applyFont="1" applyFill="1" applyBorder="1" applyAlignment="1"/>
    <xf numFmtId="14" fontId="6" fillId="0" borderId="64" xfId="0" applyNumberFormat="1" applyFont="1" applyFill="1" applyBorder="1" applyAlignment="1" applyProtection="1">
      <alignment horizontal="center" vertical="top" wrapText="1" shrinkToFit="1"/>
      <protection locked="0"/>
    </xf>
    <xf numFmtId="0" fontId="4" fillId="0" borderId="201" xfId="0" applyFont="1" applyFill="1" applyBorder="1" applyAlignment="1" applyProtection="1">
      <alignment vertical="top" wrapText="1" readingOrder="1"/>
      <protection locked="0"/>
    </xf>
    <xf numFmtId="49" fontId="4" fillId="0" borderId="201" xfId="0" applyNumberFormat="1" applyFont="1" applyFill="1" applyBorder="1" applyAlignment="1" applyProtection="1">
      <alignment horizontal="center" vertical="top" wrapText="1" readingOrder="1"/>
      <protection locked="0"/>
    </xf>
    <xf numFmtId="0" fontId="4" fillId="0" borderId="209" xfId="1" applyNumberFormat="1" applyFont="1" applyFill="1" applyBorder="1" applyAlignment="1">
      <alignment vertical="top" wrapText="1"/>
    </xf>
    <xf numFmtId="0" fontId="3" fillId="0" borderId="201" xfId="0" applyNumberFormat="1" applyFont="1" applyFill="1" applyBorder="1" applyAlignment="1" applyProtection="1">
      <alignment horizontal="center" vertical="center" wrapText="1" shrinkToFit="1"/>
      <protection locked="0"/>
    </xf>
    <xf numFmtId="165" fontId="4" fillId="0" borderId="201" xfId="0" applyNumberFormat="1" applyFont="1" applyFill="1" applyBorder="1" applyAlignment="1" applyProtection="1">
      <alignment vertical="top" wrapText="1" readingOrder="1"/>
      <protection locked="0"/>
    </xf>
    <xf numFmtId="0" fontId="4" fillId="0" borderId="212" xfId="0" applyFont="1" applyFill="1" applyBorder="1" applyAlignment="1" applyProtection="1">
      <alignment vertical="top" wrapText="1" readingOrder="1"/>
      <protection locked="0"/>
    </xf>
    <xf numFmtId="166" fontId="4" fillId="0" borderId="212" xfId="0" applyNumberFormat="1" applyFont="1" applyFill="1" applyBorder="1" applyAlignment="1" applyProtection="1">
      <alignment vertical="top" wrapText="1" readingOrder="1"/>
      <protection locked="0"/>
    </xf>
    <xf numFmtId="0" fontId="4" fillId="0" borderId="213" xfId="0" applyFont="1" applyFill="1" applyBorder="1" applyAlignment="1" applyProtection="1">
      <alignment horizontal="left" vertical="top" wrapText="1" readingOrder="1"/>
      <protection locked="0"/>
    </xf>
    <xf numFmtId="0" fontId="4" fillId="0" borderId="212" xfId="0" applyFont="1" applyFill="1" applyBorder="1" applyAlignment="1" applyProtection="1">
      <alignment horizontal="left" vertical="top" wrapText="1" readingOrder="1"/>
      <protection locked="0"/>
    </xf>
    <xf numFmtId="0" fontId="7" fillId="0" borderId="204" xfId="0" applyFont="1" applyFill="1" applyBorder="1" applyAlignment="1" applyProtection="1">
      <alignment vertical="top" wrapText="1" readingOrder="1"/>
      <protection locked="0"/>
    </xf>
    <xf numFmtId="164" fontId="7" fillId="0" borderId="214" xfId="0" applyNumberFormat="1" applyFont="1" applyFill="1" applyBorder="1" applyAlignment="1" applyProtection="1">
      <alignment vertical="top" wrapText="1" readingOrder="1"/>
      <protection locked="0"/>
    </xf>
    <xf numFmtId="0" fontId="7" fillId="0" borderId="215" xfId="0" applyFont="1" applyFill="1" applyBorder="1" applyAlignment="1" applyProtection="1">
      <alignment horizontal="center" vertical="top" wrapText="1" readingOrder="1"/>
      <protection locked="0"/>
    </xf>
    <xf numFmtId="164" fontId="7" fillId="0" borderId="215" xfId="0" applyNumberFormat="1" applyFont="1" applyFill="1" applyBorder="1" applyAlignment="1" applyProtection="1">
      <alignment vertical="top" wrapText="1" readingOrder="1"/>
      <protection locked="0"/>
    </xf>
    <xf numFmtId="164" fontId="7" fillId="0" borderId="216" xfId="0" applyNumberFormat="1" applyFont="1" applyFill="1" applyBorder="1" applyAlignment="1" applyProtection="1">
      <alignment vertical="top" wrapText="1" readingOrder="1"/>
      <protection locked="0"/>
    </xf>
    <xf numFmtId="0" fontId="4" fillId="0" borderId="196" xfId="0" applyFont="1" applyFill="1" applyBorder="1" applyAlignment="1" applyProtection="1">
      <alignment vertical="top" wrapText="1" readingOrder="1"/>
      <protection locked="0"/>
    </xf>
    <xf numFmtId="166" fontId="4" fillId="0" borderId="196" xfId="0" applyNumberFormat="1" applyFont="1" applyFill="1" applyBorder="1" applyAlignment="1" applyProtection="1">
      <alignment vertical="top" wrapText="1" readingOrder="1"/>
      <protection locked="0"/>
    </xf>
    <xf numFmtId="0" fontId="4" fillId="0" borderId="212" xfId="0" applyNumberFormat="1" applyFont="1" applyFill="1" applyBorder="1" applyAlignment="1" applyProtection="1">
      <alignment horizontal="center" vertical="top" wrapText="1" shrinkToFit="1"/>
      <protection locked="0"/>
    </xf>
    <xf numFmtId="14" fontId="4" fillId="0" borderId="212" xfId="0" applyNumberFormat="1" applyFont="1" applyFill="1" applyBorder="1" applyAlignment="1" applyProtection="1">
      <alignment horizontal="center" vertical="top" wrapText="1" shrinkToFit="1"/>
      <protection locked="0"/>
    </xf>
    <xf numFmtId="0" fontId="4" fillId="0" borderId="99" xfId="0" applyFont="1" applyFill="1" applyBorder="1" applyAlignment="1" applyProtection="1">
      <alignment vertical="top" wrapText="1" readingOrder="1"/>
      <protection locked="0"/>
    </xf>
    <xf numFmtId="0" fontId="7" fillId="0" borderId="197" xfId="0" applyFont="1" applyFill="1" applyBorder="1" applyAlignment="1" applyProtection="1">
      <alignment vertical="top" wrapText="1" readingOrder="1"/>
      <protection locked="0"/>
    </xf>
    <xf numFmtId="0" fontId="4" fillId="0" borderId="197" xfId="0" applyNumberFormat="1" applyFont="1" applyFill="1" applyBorder="1" applyAlignment="1" applyProtection="1">
      <alignment horizontal="center" vertical="center" wrapText="1" shrinkToFit="1"/>
      <protection locked="0"/>
    </xf>
    <xf numFmtId="14" fontId="4" fillId="0" borderId="197" xfId="0" applyNumberFormat="1" applyFont="1" applyFill="1" applyBorder="1" applyAlignment="1" applyProtection="1">
      <alignment horizontal="center" vertical="center" wrapText="1" shrinkToFit="1"/>
      <protection locked="0"/>
    </xf>
    <xf numFmtId="0" fontId="7" fillId="0" borderId="197" xfId="0" applyFont="1" applyFill="1" applyBorder="1" applyAlignment="1" applyProtection="1">
      <alignment horizontal="center" vertical="top" wrapText="1" readingOrder="1"/>
      <protection locked="0"/>
    </xf>
    <xf numFmtId="0" fontId="7" fillId="0" borderId="218" xfId="0" applyFont="1" applyFill="1" applyBorder="1" applyAlignment="1" applyProtection="1">
      <alignment vertical="top" wrapText="1" readingOrder="1"/>
      <protection locked="0"/>
    </xf>
    <xf numFmtId="0" fontId="7" fillId="0" borderId="196" xfId="0" applyFont="1" applyFill="1" applyBorder="1" applyAlignment="1" applyProtection="1">
      <alignment horizontal="center" vertical="top" wrapText="1" readingOrder="1"/>
      <protection locked="0"/>
    </xf>
    <xf numFmtId="164" fontId="7" fillId="0" borderId="196" xfId="0" applyNumberFormat="1" applyFont="1" applyFill="1" applyBorder="1" applyAlignment="1" applyProtection="1">
      <alignment vertical="top" wrapText="1" readingOrder="1"/>
      <protection locked="0"/>
    </xf>
    <xf numFmtId="0" fontId="7" fillId="0" borderId="210" xfId="0" applyFont="1" applyFill="1" applyBorder="1" applyAlignment="1" applyProtection="1">
      <alignment horizontal="center" vertical="top" wrapText="1" readingOrder="1"/>
      <protection locked="0"/>
    </xf>
    <xf numFmtId="164" fontId="4" fillId="0" borderId="210" xfId="0" applyNumberFormat="1" applyFont="1" applyFill="1" applyBorder="1" applyAlignment="1" applyProtection="1">
      <alignment vertical="top" wrapText="1" readingOrder="1"/>
      <protection locked="0"/>
    </xf>
    <xf numFmtId="0" fontId="3" fillId="0" borderId="195" xfId="1" applyNumberFormat="1" applyFont="1" applyFill="1" applyBorder="1" applyAlignment="1">
      <alignment horizontal="center" vertical="top" wrapText="1" readingOrder="1"/>
    </xf>
    <xf numFmtId="0" fontId="7" fillId="0" borderId="195" xfId="0" applyFont="1" applyFill="1" applyBorder="1" applyAlignment="1" applyProtection="1">
      <alignment horizontal="center" vertical="top" wrapText="1" readingOrder="1"/>
      <protection locked="0"/>
    </xf>
    <xf numFmtId="164" fontId="4" fillId="0" borderId="195" xfId="0" applyNumberFormat="1" applyFont="1" applyFill="1" applyBorder="1" applyAlignment="1" applyProtection="1">
      <alignment vertical="top" wrapText="1" readingOrder="1"/>
      <protection locked="0"/>
    </xf>
    <xf numFmtId="49" fontId="4" fillId="0" borderId="212" xfId="0" applyNumberFormat="1" applyFont="1" applyFill="1" applyBorder="1" applyAlignment="1" applyProtection="1">
      <alignment horizontal="center" vertical="top" wrapText="1" readingOrder="1"/>
      <protection locked="0"/>
    </xf>
    <xf numFmtId="0" fontId="4" fillId="0" borderId="219" xfId="0" applyNumberFormat="1" applyFont="1" applyFill="1" applyBorder="1" applyAlignment="1" applyProtection="1">
      <alignment horizontal="center" vertical="top" wrapText="1" shrinkToFit="1"/>
      <protection locked="0"/>
    </xf>
    <xf numFmtId="0" fontId="4" fillId="0" borderId="201" xfId="0" applyFont="1" applyFill="1" applyBorder="1" applyAlignment="1" applyProtection="1">
      <alignment horizontal="left" vertical="top" wrapText="1" readingOrder="1"/>
      <protection locked="0"/>
    </xf>
    <xf numFmtId="0" fontId="4" fillId="0" borderId="201" xfId="0" applyNumberFormat="1" applyFont="1" applyFill="1" applyBorder="1" applyAlignment="1" applyProtection="1">
      <alignment vertical="top" wrapText="1" shrinkToFit="1"/>
      <protection locked="0"/>
    </xf>
    <xf numFmtId="0" fontId="13" fillId="0" borderId="201" xfId="0" applyFont="1" applyFill="1" applyBorder="1" applyAlignment="1" applyProtection="1">
      <alignment vertical="top" wrapText="1" readingOrder="1"/>
      <protection locked="0"/>
    </xf>
    <xf numFmtId="49" fontId="13" fillId="0" borderId="201" xfId="0" applyNumberFormat="1" applyFont="1" applyFill="1" applyBorder="1" applyAlignment="1" applyProtection="1">
      <alignment horizontal="center" vertical="top" wrapText="1" readingOrder="1"/>
      <protection locked="0"/>
    </xf>
    <xf numFmtId="0" fontId="17" fillId="0" borderId="201" xfId="0" applyNumberFormat="1" applyFont="1" applyFill="1" applyBorder="1" applyAlignment="1" applyProtection="1">
      <alignment horizontal="center" vertical="center" wrapText="1" shrinkToFit="1"/>
      <protection locked="0"/>
    </xf>
    <xf numFmtId="0" fontId="17" fillId="0" borderId="201" xfId="0" applyNumberFormat="1" applyFont="1" applyFill="1" applyBorder="1" applyAlignment="1" applyProtection="1">
      <alignment horizontal="center" vertical="top" wrapText="1" shrinkToFit="1"/>
      <protection locked="0"/>
    </xf>
    <xf numFmtId="0" fontId="13" fillId="0" borderId="201" xfId="0" applyFont="1" applyFill="1" applyBorder="1" applyAlignment="1" applyProtection="1">
      <alignment horizontal="center" vertical="top" wrapText="1" readingOrder="1"/>
      <protection locked="0"/>
    </xf>
    <xf numFmtId="165" fontId="13" fillId="0" borderId="201" xfId="0" applyNumberFormat="1" applyFont="1" applyFill="1" applyBorder="1" applyAlignment="1" applyProtection="1">
      <alignment vertical="top" wrapText="1" readingOrder="1"/>
      <protection locked="0"/>
    </xf>
    <xf numFmtId="0" fontId="4" fillId="0" borderId="178" xfId="0" applyNumberFormat="1" applyFont="1" applyFill="1" applyBorder="1" applyAlignment="1" applyProtection="1">
      <alignment horizontal="center" vertical="center" wrapText="1" shrinkToFit="1"/>
      <protection locked="0"/>
    </xf>
    <xf numFmtId="49" fontId="4" fillId="0" borderId="160" xfId="0" applyNumberFormat="1" applyFont="1" applyFill="1" applyBorder="1" applyAlignment="1" applyProtection="1">
      <alignment horizontal="center" vertical="top" wrapText="1" readingOrder="1"/>
      <protection locked="0"/>
    </xf>
    <xf numFmtId="0" fontId="4" fillId="0" borderId="199" xfId="0" applyNumberFormat="1" applyFont="1" applyFill="1" applyBorder="1" applyAlignment="1" applyProtection="1">
      <alignment horizontal="center" vertical="top" wrapText="1" shrinkToFit="1"/>
      <protection locked="0"/>
    </xf>
    <xf numFmtId="49" fontId="4" fillId="0" borderId="200" xfId="0" applyNumberFormat="1" applyFont="1" applyFill="1" applyBorder="1" applyAlignment="1" applyProtection="1">
      <alignment horizontal="center" vertical="top" wrapText="1" readingOrder="1"/>
      <protection locked="0"/>
    </xf>
    <xf numFmtId="0" fontId="4" fillId="0" borderId="200" xfId="0" applyNumberFormat="1" applyFont="1" applyFill="1" applyBorder="1" applyAlignment="1" applyProtection="1">
      <alignment horizontal="center" vertical="top" wrapText="1" shrinkToFit="1"/>
      <protection locked="0"/>
    </xf>
    <xf numFmtId="166" fontId="4" fillId="0" borderId="12" xfId="0" applyNumberFormat="1" applyFont="1" applyFill="1" applyBorder="1" applyAlignment="1" applyProtection="1">
      <alignment vertical="top" wrapText="1" readingOrder="1"/>
      <protection locked="0"/>
    </xf>
    <xf numFmtId="0" fontId="4" fillId="0" borderId="195" xfId="0" applyFont="1" applyFill="1" applyBorder="1" applyAlignment="1">
      <alignment horizontal="center" vertical="top" wrapText="1"/>
    </xf>
    <xf numFmtId="49" fontId="4" fillId="0" borderId="211" xfId="0" applyNumberFormat="1" applyFont="1" applyFill="1" applyBorder="1" applyAlignment="1" applyProtection="1">
      <alignment horizontal="center" vertical="top" wrapText="1" readingOrder="1"/>
      <protection locked="0"/>
    </xf>
    <xf numFmtId="0" fontId="6" fillId="0" borderId="130" xfId="0" applyNumberFormat="1" applyFont="1" applyFill="1" applyBorder="1" applyAlignment="1" applyProtection="1">
      <alignment horizontal="center" vertical="top" wrapText="1"/>
    </xf>
    <xf numFmtId="0" fontId="6" fillId="0" borderId="152" xfId="0" applyNumberFormat="1" applyFont="1" applyFill="1" applyBorder="1" applyAlignment="1" applyProtection="1">
      <alignment horizontal="center" vertical="top" wrapText="1"/>
    </xf>
    <xf numFmtId="14" fontId="4" fillId="0" borderId="210" xfId="0" applyNumberFormat="1" applyFont="1" applyFill="1" applyBorder="1" applyAlignment="1" applyProtection="1">
      <alignment horizontal="center" vertical="top" wrapText="1" shrinkToFit="1"/>
      <protection locked="0"/>
    </xf>
    <xf numFmtId="0" fontId="4" fillId="0" borderId="183" xfId="0" applyFont="1" applyFill="1" applyBorder="1" applyAlignment="1" applyProtection="1">
      <alignment horizontal="center" vertical="top" wrapText="1" readingOrder="1"/>
      <protection locked="0"/>
    </xf>
    <xf numFmtId="0" fontId="4" fillId="0" borderId="184" xfId="0" applyFont="1" applyFill="1" applyBorder="1" applyAlignment="1" applyProtection="1">
      <alignment horizontal="center" vertical="top" wrapText="1" readingOrder="1"/>
      <protection locked="0"/>
    </xf>
    <xf numFmtId="0" fontId="3" fillId="0" borderId="1" xfId="0" applyNumberFormat="1" applyFont="1" applyFill="1" applyBorder="1" applyAlignment="1" applyProtection="1">
      <alignment horizontal="center" vertical="top" wrapText="1" shrinkToFit="1"/>
      <protection locked="0"/>
    </xf>
    <xf numFmtId="0" fontId="3" fillId="0" borderId="9" xfId="0" applyNumberFormat="1" applyFont="1" applyFill="1" applyBorder="1" applyAlignment="1" applyProtection="1">
      <alignment horizontal="center" vertical="top" wrapText="1" shrinkToFit="1"/>
      <protection locked="0"/>
    </xf>
    <xf numFmtId="0" fontId="4" fillId="0" borderId="210" xfId="0" applyFont="1" applyFill="1" applyBorder="1" applyAlignment="1" applyProtection="1">
      <alignment vertical="top" wrapText="1" readingOrder="1"/>
      <protection locked="0"/>
    </xf>
    <xf numFmtId="0" fontId="4" fillId="0" borderId="213" xfId="0" applyFont="1" applyFill="1" applyBorder="1" applyAlignment="1" applyProtection="1">
      <alignment vertical="top" wrapText="1" readingOrder="1"/>
      <protection locked="0"/>
    </xf>
    <xf numFmtId="49" fontId="4" fillId="0" borderId="213" xfId="0" applyNumberFormat="1" applyFont="1" applyFill="1" applyBorder="1" applyAlignment="1" applyProtection="1">
      <alignment horizontal="center" vertical="top" wrapText="1" readingOrder="1"/>
      <protection locked="0"/>
    </xf>
    <xf numFmtId="166" fontId="4" fillId="0" borderId="213" xfId="0" applyNumberFormat="1" applyFont="1" applyFill="1" applyBorder="1" applyAlignment="1" applyProtection="1">
      <alignment vertical="top" wrapText="1" readingOrder="1"/>
      <protection locked="0"/>
    </xf>
    <xf numFmtId="166" fontId="4" fillId="0" borderId="165" xfId="0" applyNumberFormat="1" applyFont="1" applyFill="1" applyBorder="1" applyAlignment="1" applyProtection="1">
      <alignment vertical="top" wrapText="1" readingOrder="1"/>
      <protection locked="0"/>
    </xf>
    <xf numFmtId="49" fontId="4" fillId="0" borderId="210" xfId="0" applyNumberFormat="1" applyFont="1" applyFill="1" applyBorder="1" applyAlignment="1" applyProtection="1">
      <alignment horizontal="center" vertical="top" wrapText="1" readingOrder="1"/>
      <protection locked="0"/>
    </xf>
    <xf numFmtId="166" fontId="4" fillId="0" borderId="201" xfId="0" applyNumberFormat="1" applyFont="1" applyFill="1" applyBorder="1" applyAlignment="1" applyProtection="1">
      <alignment vertical="top" wrapText="1" readingOrder="1"/>
      <protection locked="0"/>
    </xf>
    <xf numFmtId="0" fontId="4" fillId="0" borderId="220" xfId="0" applyFont="1" applyFill="1" applyBorder="1" applyAlignment="1" applyProtection="1">
      <alignment horizontal="left" vertical="top" wrapText="1" readingOrder="1"/>
      <protection locked="0"/>
    </xf>
    <xf numFmtId="0" fontId="4" fillId="0" borderId="222" xfId="0" applyFont="1" applyFill="1" applyBorder="1" applyAlignment="1" applyProtection="1">
      <alignment vertical="top" wrapText="1" readingOrder="1"/>
      <protection locked="0"/>
    </xf>
    <xf numFmtId="0" fontId="4" fillId="0" borderId="211" xfId="0" applyFont="1" applyFill="1" applyBorder="1" applyAlignment="1" applyProtection="1">
      <alignment vertical="top" wrapText="1" readingOrder="1"/>
      <protection locked="0"/>
    </xf>
    <xf numFmtId="0" fontId="4" fillId="0" borderId="195" xfId="0" applyFont="1" applyFill="1" applyBorder="1" applyAlignment="1" applyProtection="1">
      <alignment vertical="top" wrapText="1" readingOrder="1"/>
      <protection locked="0"/>
    </xf>
    <xf numFmtId="0" fontId="4" fillId="0" borderId="195" xfId="0" applyNumberFormat="1" applyFont="1" applyFill="1" applyBorder="1" applyAlignment="1" applyProtection="1">
      <alignment horizontal="center" vertical="top" wrapText="1" shrinkToFit="1"/>
      <protection locked="0"/>
    </xf>
    <xf numFmtId="14" fontId="4" fillId="0" borderId="221" xfId="0" applyNumberFormat="1" applyFont="1" applyFill="1" applyBorder="1" applyAlignment="1" applyProtection="1">
      <alignment horizontal="center" vertical="top" wrapText="1" shrinkToFit="1"/>
      <protection locked="0"/>
    </xf>
    <xf numFmtId="164" fontId="4" fillId="0" borderId="196" xfId="0" applyNumberFormat="1" applyFont="1" applyFill="1" applyBorder="1" applyAlignment="1" applyProtection="1">
      <alignment vertical="top" wrapText="1" readingOrder="1"/>
      <protection locked="0"/>
    </xf>
    <xf numFmtId="49" fontId="4" fillId="0" borderId="195" xfId="0" applyNumberFormat="1" applyFont="1" applyFill="1" applyBorder="1" applyAlignment="1" applyProtection="1">
      <alignment horizontal="center" vertical="top" wrapText="1" readingOrder="1"/>
      <protection locked="0"/>
    </xf>
    <xf numFmtId="14" fontId="4" fillId="0" borderId="195" xfId="0" applyNumberFormat="1" applyFont="1" applyFill="1" applyBorder="1" applyAlignment="1" applyProtection="1">
      <alignment horizontal="center" vertical="top" wrapText="1" shrinkToFit="1"/>
      <protection locked="0"/>
    </xf>
    <xf numFmtId="166" fontId="4" fillId="0" borderId="195" xfId="0" applyNumberFormat="1" applyFont="1" applyFill="1" applyBorder="1" applyAlignment="1" applyProtection="1">
      <alignment vertical="top" wrapText="1" readingOrder="1"/>
      <protection locked="0"/>
    </xf>
    <xf numFmtId="49" fontId="11" fillId="0" borderId="193" xfId="2" applyNumberFormat="1" applyFont="1" applyFill="1" applyBorder="1" applyAlignment="1">
      <alignment horizontal="center" vertical="center"/>
    </xf>
    <xf numFmtId="49" fontId="11" fillId="0" borderId="182" xfId="2" applyNumberFormat="1" applyFont="1" applyFill="1" applyBorder="1" applyAlignment="1">
      <alignment horizontal="center" vertical="center"/>
    </xf>
    <xf numFmtId="0" fontId="4" fillId="0" borderId="196" xfId="0" applyFont="1" applyFill="1" applyBorder="1" applyAlignment="1" applyProtection="1">
      <alignment horizontal="left" vertical="top" wrapText="1" readingOrder="1"/>
      <protection locked="0"/>
    </xf>
    <xf numFmtId="49" fontId="4" fillId="0" borderId="196" xfId="0" applyNumberFormat="1" applyFont="1" applyFill="1" applyBorder="1" applyAlignment="1" applyProtection="1">
      <alignment horizontal="center" vertical="top" wrapText="1" readingOrder="1"/>
      <protection locked="0"/>
    </xf>
    <xf numFmtId="0" fontId="6" fillId="0" borderId="195" xfId="0" applyNumberFormat="1" applyFont="1" applyFill="1" applyBorder="1" applyAlignment="1" applyProtection="1">
      <alignment horizontal="center" vertical="top" wrapText="1"/>
    </xf>
    <xf numFmtId="0" fontId="4" fillId="0" borderId="178" xfId="0" applyFont="1" applyFill="1" applyBorder="1" applyAlignment="1" applyProtection="1">
      <alignment horizontal="left" vertical="top" wrapText="1" readingOrder="1"/>
      <protection locked="0"/>
    </xf>
    <xf numFmtId="0" fontId="4" fillId="0" borderId="178" xfId="0" applyFont="1" applyFill="1" applyBorder="1" applyAlignment="1" applyProtection="1">
      <alignment horizontal="center" vertical="top" wrapText="1" readingOrder="1"/>
      <protection locked="0"/>
    </xf>
    <xf numFmtId="0" fontId="7" fillId="0" borderId="189" xfId="0" applyFont="1" applyFill="1" applyBorder="1" applyAlignment="1" applyProtection="1">
      <alignment horizontal="center" vertical="top" wrapText="1" readingOrder="1"/>
      <protection locked="0"/>
    </xf>
    <xf numFmtId="0" fontId="4" fillId="0" borderId="62" xfId="0" applyFont="1" applyFill="1" applyBorder="1" applyAlignment="1" applyProtection="1">
      <alignment horizontal="center" vertical="top" wrapText="1" readingOrder="1"/>
      <protection locked="0"/>
    </xf>
    <xf numFmtId="0" fontId="4" fillId="0" borderId="112" xfId="0" applyFont="1" applyFill="1" applyBorder="1" applyAlignment="1" applyProtection="1">
      <alignment horizontal="center" vertical="top" wrapText="1" readingOrder="1"/>
      <protection locked="0"/>
    </xf>
    <xf numFmtId="49" fontId="4" fillId="0" borderId="54" xfId="0" applyNumberFormat="1" applyFont="1" applyFill="1" applyBorder="1" applyAlignment="1" applyProtection="1">
      <alignment horizontal="center" vertical="top" wrapText="1" readingOrder="1"/>
      <protection locked="0"/>
    </xf>
    <xf numFmtId="0" fontId="4" fillId="0" borderId="91" xfId="0" applyFont="1" applyFill="1" applyBorder="1" applyAlignment="1" applyProtection="1">
      <alignment horizontal="center" vertical="top" wrapText="1" readingOrder="1"/>
      <protection locked="0"/>
    </xf>
    <xf numFmtId="0" fontId="4" fillId="0" borderId="54" xfId="0" applyFont="1" applyFill="1" applyBorder="1" applyAlignment="1" applyProtection="1">
      <alignment horizontal="center" vertical="top" wrapText="1" readingOrder="1"/>
      <protection locked="0"/>
    </xf>
    <xf numFmtId="0" fontId="6" fillId="0" borderId="196" xfId="0" applyNumberFormat="1" applyFont="1" applyFill="1" applyBorder="1" applyAlignment="1" applyProtection="1">
      <alignment horizontal="center" vertical="top" wrapText="1" shrinkToFit="1" readingOrder="1"/>
      <protection locked="0"/>
    </xf>
    <xf numFmtId="0" fontId="6" fillId="0" borderId="210" xfId="0" applyNumberFormat="1" applyFont="1" applyFill="1" applyBorder="1" applyAlignment="1" applyProtection="1">
      <alignment horizontal="center" vertical="top" wrapText="1" shrinkToFit="1" readingOrder="1"/>
      <protection locked="0"/>
    </xf>
    <xf numFmtId="0" fontId="4" fillId="0" borderId="139" xfId="0" applyFont="1" applyFill="1" applyBorder="1" applyAlignment="1" applyProtection="1">
      <alignment horizontal="center" vertical="top" wrapText="1" readingOrder="1"/>
      <protection locked="0"/>
    </xf>
    <xf numFmtId="0" fontId="4" fillId="0" borderId="62" xfId="0" applyFont="1" applyFill="1" applyBorder="1" applyAlignment="1">
      <alignment horizontal="center" vertical="top" wrapText="1"/>
    </xf>
    <xf numFmtId="0" fontId="6" fillId="0" borderId="139" xfId="0" applyNumberFormat="1" applyFont="1" applyFill="1" applyBorder="1" applyAlignment="1" applyProtection="1">
      <alignment horizontal="center" vertical="top" wrapText="1" shrinkToFit="1"/>
      <protection locked="0"/>
    </xf>
    <xf numFmtId="0" fontId="7" fillId="0" borderId="5" xfId="0" applyFont="1" applyFill="1" applyBorder="1" applyAlignment="1" applyProtection="1">
      <alignment horizontal="center" vertical="top" wrapText="1" readingOrder="1"/>
      <protection locked="0"/>
    </xf>
    <xf numFmtId="49" fontId="4" fillId="0" borderId="6" xfId="0" applyNumberFormat="1" applyFont="1" applyFill="1" applyBorder="1" applyAlignment="1" applyProtection="1">
      <alignment horizontal="center" vertical="top" wrapText="1" readingOrder="1"/>
      <protection locked="0"/>
    </xf>
    <xf numFmtId="49" fontId="4" fillId="0" borderId="178" xfId="0" applyNumberFormat="1" applyFont="1" applyFill="1" applyBorder="1" applyAlignment="1" applyProtection="1">
      <alignment horizontal="center" vertical="top" wrapText="1" readingOrder="1"/>
      <protection locked="0"/>
    </xf>
    <xf numFmtId="0" fontId="4" fillId="0" borderId="6" xfId="0" applyFont="1" applyFill="1" applyBorder="1" applyAlignment="1" applyProtection="1">
      <alignment horizontal="center" vertical="top" wrapText="1" readingOrder="1"/>
      <protection locked="0"/>
    </xf>
    <xf numFmtId="49" fontId="4" fillId="0" borderId="74" xfId="0" applyNumberFormat="1" applyFont="1" applyFill="1" applyBorder="1" applyAlignment="1" applyProtection="1">
      <alignment horizontal="center" vertical="top" wrapText="1" readingOrder="1"/>
      <protection locked="0"/>
    </xf>
    <xf numFmtId="49" fontId="4" fillId="0" borderId="189" xfId="0" applyNumberFormat="1" applyFont="1" applyFill="1" applyBorder="1" applyAlignment="1" applyProtection="1">
      <alignment horizontal="center" vertical="top" wrapText="1" readingOrder="1"/>
      <protection locked="0"/>
    </xf>
    <xf numFmtId="0" fontId="4" fillId="0" borderId="210" xfId="0" applyFont="1" applyFill="1" applyBorder="1" applyAlignment="1">
      <alignment horizontal="center" vertical="top" wrapText="1"/>
    </xf>
    <xf numFmtId="0" fontId="6" fillId="0" borderId="62" xfId="0" applyNumberFormat="1" applyFont="1" applyFill="1" applyBorder="1" applyAlignment="1" applyProtection="1">
      <alignment horizontal="center" vertical="top" wrapText="1"/>
    </xf>
    <xf numFmtId="0" fontId="3" fillId="0" borderId="64" xfId="0" applyNumberFormat="1" applyFont="1" applyFill="1" applyBorder="1" applyAlignment="1" applyProtection="1">
      <alignment horizontal="center" vertical="top" wrapText="1" shrinkToFit="1"/>
      <protection locked="0"/>
    </xf>
    <xf numFmtId="0" fontId="3" fillId="0" borderId="86" xfId="0" applyNumberFormat="1" applyFont="1" applyFill="1" applyBorder="1" applyAlignment="1" applyProtection="1">
      <alignment horizontal="center" vertical="top" wrapText="1" shrinkToFit="1"/>
      <protection locked="0"/>
    </xf>
    <xf numFmtId="14" fontId="3" fillId="0" borderId="64" xfId="0" applyNumberFormat="1" applyFont="1" applyFill="1" applyBorder="1" applyAlignment="1" applyProtection="1">
      <alignment horizontal="center" vertical="top" wrapText="1" shrinkToFit="1"/>
      <protection locked="0"/>
    </xf>
    <xf numFmtId="14" fontId="3" fillId="0" borderId="2" xfId="0" applyNumberFormat="1" applyFont="1" applyFill="1" applyBorder="1" applyAlignment="1" applyProtection="1">
      <alignment horizontal="center" vertical="top" wrapText="1" shrinkToFit="1"/>
      <protection locked="0"/>
    </xf>
    <xf numFmtId="0" fontId="3" fillId="0" borderId="6" xfId="0" applyNumberFormat="1" applyFont="1" applyFill="1" applyBorder="1" applyAlignment="1" applyProtection="1">
      <alignment horizontal="center" vertical="top" wrapText="1" shrinkToFit="1"/>
      <protection locked="0"/>
    </xf>
    <xf numFmtId="0" fontId="3" fillId="0" borderId="4" xfId="0" applyNumberFormat="1" applyFont="1" applyFill="1" applyBorder="1" applyAlignment="1" applyProtection="1">
      <alignment horizontal="center" vertical="top" wrapText="1" shrinkToFit="1"/>
      <protection locked="0"/>
    </xf>
    <xf numFmtId="0" fontId="3" fillId="0" borderId="2" xfId="0" applyNumberFormat="1" applyFont="1" applyFill="1" applyBorder="1" applyAlignment="1" applyProtection="1">
      <alignment horizontal="center" vertical="top" wrapText="1" shrinkToFit="1"/>
      <protection locked="0"/>
    </xf>
    <xf numFmtId="0" fontId="3" fillId="0" borderId="7" xfId="0" applyNumberFormat="1" applyFont="1" applyFill="1" applyBorder="1" applyAlignment="1" applyProtection="1">
      <alignment horizontal="center" vertical="top" wrapText="1" shrinkToFit="1"/>
      <protection locked="0"/>
    </xf>
    <xf numFmtId="0" fontId="4" fillId="0" borderId="64" xfId="0" applyNumberFormat="1" applyFont="1" applyFill="1" applyBorder="1" applyAlignment="1" applyProtection="1">
      <alignment horizontal="center" vertical="top" wrapText="1" shrinkToFit="1"/>
      <protection locked="0"/>
    </xf>
    <xf numFmtId="0" fontId="4" fillId="0" borderId="11" xfId="0" applyFont="1" applyFill="1" applyBorder="1" applyAlignment="1" applyProtection="1">
      <alignment horizontal="center" vertical="top" wrapText="1" readingOrder="1"/>
      <protection locked="0"/>
    </xf>
    <xf numFmtId="0" fontId="4" fillId="0" borderId="2" xfId="0" applyFont="1" applyFill="1" applyBorder="1" applyAlignment="1" applyProtection="1">
      <alignment horizontal="center" vertical="top" wrapText="1" readingOrder="1"/>
      <protection locked="0"/>
    </xf>
    <xf numFmtId="0" fontId="4" fillId="0" borderId="177" xfId="0" applyFont="1" applyFill="1" applyBorder="1" applyAlignment="1" applyProtection="1">
      <alignment horizontal="center" vertical="top" wrapText="1" readingOrder="1"/>
      <protection locked="0"/>
    </xf>
    <xf numFmtId="0" fontId="4" fillId="0" borderId="72" xfId="0" applyFont="1" applyFill="1" applyBorder="1" applyAlignment="1" applyProtection="1">
      <alignment horizontal="center" vertical="top" wrapText="1" readingOrder="1"/>
      <protection locked="0"/>
    </xf>
    <xf numFmtId="0" fontId="4" fillId="0" borderId="5" xfId="0" applyFont="1" applyFill="1" applyBorder="1" applyAlignment="1" applyProtection="1">
      <alignment horizontal="center" vertical="top" wrapText="1" readingOrder="1"/>
      <protection locked="0"/>
    </xf>
    <xf numFmtId="0" fontId="3" fillId="0" borderId="162" xfId="0" applyNumberFormat="1" applyFont="1" applyFill="1" applyBorder="1" applyAlignment="1" applyProtection="1">
      <alignment horizontal="center" vertical="top" wrapText="1" shrinkToFit="1"/>
      <protection locked="0"/>
    </xf>
    <xf numFmtId="14" fontId="4" fillId="0" borderId="64" xfId="0" applyNumberFormat="1" applyFont="1" applyFill="1" applyBorder="1" applyAlignment="1" applyProtection="1">
      <alignment horizontal="center" vertical="top" wrapText="1" shrinkToFit="1"/>
      <protection locked="0"/>
    </xf>
    <xf numFmtId="0" fontId="3" fillId="0" borderId="62" xfId="0" applyNumberFormat="1" applyFont="1" applyFill="1" applyBorder="1" applyAlignment="1" applyProtection="1">
      <alignment horizontal="center" vertical="top" wrapText="1" shrinkToFit="1"/>
      <protection locked="0"/>
    </xf>
    <xf numFmtId="0" fontId="6" fillId="0" borderId="64" xfId="0" applyNumberFormat="1" applyFont="1" applyFill="1" applyBorder="1" applyAlignment="1" applyProtection="1">
      <alignment horizontal="center" vertical="top" wrapText="1"/>
    </xf>
    <xf numFmtId="14" fontId="3" fillId="0" borderId="162" xfId="0" applyNumberFormat="1" applyFont="1" applyFill="1" applyBorder="1" applyAlignment="1" applyProtection="1">
      <alignment horizontal="center" vertical="top" wrapText="1" shrinkToFit="1"/>
      <protection locked="0"/>
    </xf>
    <xf numFmtId="0" fontId="4" fillId="0" borderId="64" xfId="0" applyFont="1" applyFill="1" applyBorder="1" applyAlignment="1" applyProtection="1">
      <alignment horizontal="center" vertical="top" wrapText="1" readingOrder="1"/>
      <protection locked="0"/>
    </xf>
    <xf numFmtId="0" fontId="3" fillId="0" borderId="5" xfId="0" applyNumberFormat="1" applyFont="1" applyFill="1" applyBorder="1" applyAlignment="1" applyProtection="1">
      <alignment horizontal="center" vertical="top" wrapText="1" shrinkToFit="1"/>
      <protection locked="0"/>
    </xf>
    <xf numFmtId="0" fontId="3" fillId="0" borderId="11" xfId="0" applyNumberFormat="1" applyFont="1" applyFill="1" applyBorder="1" applyAlignment="1" applyProtection="1">
      <alignment horizontal="center" vertical="top" wrapText="1" shrinkToFit="1"/>
      <protection locked="0"/>
    </xf>
    <xf numFmtId="0" fontId="6" fillId="0" borderId="54" xfId="0" applyNumberFormat="1" applyFont="1" applyFill="1" applyBorder="1" applyAlignment="1" applyProtection="1">
      <alignment horizontal="center" vertical="top" wrapText="1"/>
    </xf>
    <xf numFmtId="0" fontId="4" fillId="0" borderId="68" xfId="0" applyNumberFormat="1" applyFont="1" applyFill="1" applyBorder="1" applyAlignment="1" applyProtection="1">
      <alignment horizontal="center" vertical="top" wrapText="1" shrinkToFit="1"/>
      <protection locked="0"/>
    </xf>
    <xf numFmtId="0" fontId="3" fillId="0" borderId="156" xfId="0" applyNumberFormat="1" applyFont="1" applyFill="1" applyBorder="1" applyAlignment="1" applyProtection="1">
      <alignment horizontal="center" vertical="top" wrapText="1" shrinkToFit="1"/>
      <protection locked="0"/>
    </xf>
    <xf numFmtId="0" fontId="4" fillId="0" borderId="204" xfId="0" applyNumberFormat="1" applyFont="1" applyFill="1" applyBorder="1" applyAlignment="1" applyProtection="1">
      <alignment horizontal="center" vertical="top" wrapText="1" shrinkToFit="1"/>
      <protection locked="0"/>
    </xf>
    <xf numFmtId="0" fontId="4" fillId="0" borderId="186" xfId="0" applyNumberFormat="1" applyFont="1" applyFill="1" applyBorder="1" applyAlignment="1" applyProtection="1">
      <alignment horizontal="center" vertical="top" wrapText="1" shrinkToFit="1"/>
      <protection locked="0"/>
    </xf>
    <xf numFmtId="0" fontId="6" fillId="0" borderId="186" xfId="0" applyNumberFormat="1" applyFont="1" applyFill="1" applyBorder="1" applyAlignment="1" applyProtection="1">
      <alignment horizontal="center" vertical="top" wrapText="1"/>
    </xf>
    <xf numFmtId="0" fontId="4" fillId="0" borderId="64" xfId="0" applyFont="1" applyFill="1" applyBorder="1" applyAlignment="1" applyProtection="1">
      <alignment horizontal="left" vertical="top" wrapText="1" readingOrder="1"/>
      <protection locked="0"/>
    </xf>
    <xf numFmtId="14" fontId="4" fillId="0" borderId="68" xfId="0" applyNumberFormat="1" applyFont="1" applyFill="1" applyBorder="1" applyAlignment="1" applyProtection="1">
      <alignment horizontal="center" vertical="top" wrapText="1" shrinkToFit="1"/>
      <protection locked="0"/>
    </xf>
    <xf numFmtId="0" fontId="4" fillId="0" borderId="133" xfId="0" applyNumberFormat="1" applyFont="1" applyFill="1" applyBorder="1" applyAlignment="1" applyProtection="1">
      <alignment horizontal="center" vertical="top" wrapText="1" shrinkToFit="1"/>
      <protection locked="0"/>
    </xf>
    <xf numFmtId="0" fontId="4" fillId="0" borderId="62" xfId="0" applyFont="1" applyFill="1" applyBorder="1" applyAlignment="1" applyProtection="1">
      <alignment horizontal="left" vertical="top" wrapText="1" readingOrder="1"/>
      <protection locked="0"/>
    </xf>
    <xf numFmtId="0" fontId="6" fillId="0" borderId="7" xfId="0" applyNumberFormat="1" applyFont="1" applyFill="1" applyBorder="1" applyAlignment="1" applyProtection="1">
      <alignment horizontal="center" vertical="top" wrapText="1"/>
    </xf>
    <xf numFmtId="0" fontId="4" fillId="0" borderId="120" xfId="0" applyNumberFormat="1" applyFont="1" applyFill="1" applyBorder="1" applyAlignment="1" applyProtection="1">
      <alignment horizontal="center" vertical="top" wrapText="1" shrinkToFit="1"/>
      <protection locked="0"/>
    </xf>
    <xf numFmtId="0" fontId="4" fillId="0" borderId="178" xfId="0" applyNumberFormat="1" applyFont="1" applyFill="1" applyBorder="1" applyAlignment="1" applyProtection="1">
      <alignment horizontal="center" vertical="top" wrapText="1" shrinkToFit="1"/>
      <protection locked="0"/>
    </xf>
    <xf numFmtId="0" fontId="4" fillId="0" borderId="171" xfId="0" applyNumberFormat="1" applyFont="1" applyFill="1" applyBorder="1" applyAlignment="1" applyProtection="1">
      <alignment horizontal="center" vertical="top" wrapText="1" shrinkToFit="1"/>
      <protection locked="0"/>
    </xf>
    <xf numFmtId="14" fontId="4" fillId="0" borderId="61" xfId="0" applyNumberFormat="1" applyFont="1" applyFill="1" applyBorder="1" applyAlignment="1" applyProtection="1">
      <alignment horizontal="center" vertical="top" wrapText="1" shrinkToFit="1"/>
      <protection locked="0"/>
    </xf>
    <xf numFmtId="0" fontId="4" fillId="0" borderId="120" xfId="0" applyFont="1" applyFill="1" applyBorder="1" applyAlignment="1" applyProtection="1">
      <alignment horizontal="center" vertical="top" wrapText="1" readingOrder="1"/>
      <protection locked="0"/>
    </xf>
    <xf numFmtId="0" fontId="4" fillId="0" borderId="55" xfId="0" applyFont="1" applyFill="1" applyBorder="1" applyAlignment="1" applyProtection="1">
      <alignment horizontal="center" vertical="top" wrapText="1" readingOrder="1"/>
      <protection locked="0"/>
    </xf>
    <xf numFmtId="0" fontId="4" fillId="0" borderId="9" xfId="0" applyFont="1" applyFill="1" applyBorder="1" applyAlignment="1" applyProtection="1">
      <alignment horizontal="center" vertical="top" wrapText="1" readingOrder="1"/>
      <protection locked="0"/>
    </xf>
    <xf numFmtId="0" fontId="3" fillId="0" borderId="120" xfId="0" applyNumberFormat="1" applyFont="1" applyFill="1" applyBorder="1" applyAlignment="1" applyProtection="1">
      <alignment horizontal="center" vertical="top" wrapText="1" shrinkToFit="1"/>
      <protection locked="0"/>
    </xf>
    <xf numFmtId="0" fontId="3" fillId="0" borderId="133" xfId="0" applyNumberFormat="1" applyFont="1" applyFill="1" applyBorder="1" applyAlignment="1" applyProtection="1">
      <alignment horizontal="center" vertical="top" wrapText="1" shrinkToFit="1"/>
      <protection locked="0"/>
    </xf>
    <xf numFmtId="0" fontId="3" fillId="0" borderId="171" xfId="0" applyNumberFormat="1" applyFont="1" applyFill="1" applyBorder="1" applyAlignment="1" applyProtection="1">
      <alignment horizontal="center" vertical="top" wrapText="1" shrinkToFit="1"/>
      <protection locked="0"/>
    </xf>
    <xf numFmtId="0" fontId="4" fillId="0" borderId="201" xfId="0" applyFont="1" applyFill="1" applyBorder="1" applyAlignment="1" applyProtection="1">
      <alignment horizontal="center" vertical="top" wrapText="1" readingOrder="1"/>
      <protection locked="0"/>
    </xf>
    <xf numFmtId="0" fontId="4" fillId="0" borderId="156" xfId="0" applyFont="1" applyFill="1" applyBorder="1" applyAlignment="1" applyProtection="1">
      <alignment horizontal="center" vertical="top" wrapText="1" readingOrder="1"/>
      <protection locked="0"/>
    </xf>
    <xf numFmtId="0" fontId="4" fillId="0" borderId="124" xfId="0" applyFont="1" applyFill="1" applyBorder="1" applyAlignment="1" applyProtection="1">
      <alignment horizontal="center" vertical="top" wrapText="1" readingOrder="1"/>
      <protection locked="0"/>
    </xf>
    <xf numFmtId="0" fontId="4" fillId="0" borderId="7" xfId="0" applyFont="1" applyFill="1" applyBorder="1" applyAlignment="1" applyProtection="1">
      <alignment horizontal="center" vertical="top" wrapText="1" readingOrder="1"/>
      <protection locked="0"/>
    </xf>
    <xf numFmtId="0" fontId="4" fillId="0" borderId="171" xfId="0" applyFont="1" applyFill="1" applyBorder="1" applyAlignment="1" applyProtection="1">
      <alignment horizontal="left" vertical="top" wrapText="1" readingOrder="1"/>
      <protection locked="0"/>
    </xf>
    <xf numFmtId="0" fontId="7" fillId="0" borderId="11" xfId="0" applyFont="1" applyFill="1" applyBorder="1" applyAlignment="1" applyProtection="1">
      <alignment horizontal="left" vertical="top" wrapText="1" readingOrder="1"/>
      <protection locked="0"/>
    </xf>
    <xf numFmtId="0" fontId="7" fillId="0" borderId="2" xfId="0" applyFont="1" applyFill="1" applyBorder="1" applyAlignment="1" applyProtection="1">
      <alignment horizontal="left" vertical="top" wrapText="1" readingOrder="1"/>
      <protection locked="0"/>
    </xf>
    <xf numFmtId="0" fontId="6" fillId="0" borderId="117" xfId="0" applyNumberFormat="1" applyFont="1" applyFill="1" applyBorder="1" applyAlignment="1" applyProtection="1">
      <alignment horizontal="center" vertical="top" wrapText="1" shrinkToFit="1"/>
      <protection locked="0"/>
    </xf>
    <xf numFmtId="0" fontId="6" fillId="0" borderId="62" xfId="0" applyNumberFormat="1" applyFont="1" applyFill="1" applyBorder="1" applyAlignment="1" applyProtection="1">
      <alignment horizontal="center" vertical="top" wrapText="1" shrinkToFit="1"/>
      <protection locked="0"/>
    </xf>
    <xf numFmtId="0" fontId="3" fillId="0" borderId="109" xfId="0" applyNumberFormat="1" applyFont="1" applyFill="1" applyBorder="1" applyAlignment="1" applyProtection="1">
      <alignment horizontal="center" vertical="top" wrapText="1" shrinkToFit="1"/>
      <protection locked="0"/>
    </xf>
    <xf numFmtId="0" fontId="3" fillId="0" borderId="139" xfId="0" applyNumberFormat="1" applyFont="1" applyFill="1" applyBorder="1" applyAlignment="1" applyProtection="1">
      <alignment horizontal="center" vertical="top" wrapText="1" shrinkToFit="1"/>
      <protection locked="0"/>
    </xf>
    <xf numFmtId="0" fontId="6" fillId="0" borderId="178" xfId="0" applyNumberFormat="1" applyFont="1" applyFill="1" applyBorder="1" applyAlignment="1" applyProtection="1">
      <alignment horizontal="center" vertical="top" wrapText="1"/>
    </xf>
    <xf numFmtId="0" fontId="4" fillId="0" borderId="117" xfId="0" applyFont="1" applyFill="1" applyBorder="1" applyAlignment="1" applyProtection="1">
      <alignment horizontal="center" vertical="top" wrapText="1" readingOrder="1"/>
      <protection locked="0"/>
    </xf>
    <xf numFmtId="0" fontId="4" fillId="0" borderId="54" xfId="0" applyFont="1" applyFill="1" applyBorder="1" applyAlignment="1">
      <alignment horizontal="center" vertical="top" wrapText="1"/>
    </xf>
    <xf numFmtId="0" fontId="3" fillId="0" borderId="124" xfId="0" applyNumberFormat="1" applyFont="1" applyFill="1" applyBorder="1" applyAlignment="1" applyProtection="1">
      <alignment horizontal="center" vertical="top" wrapText="1" shrinkToFit="1"/>
      <protection locked="0"/>
    </xf>
    <xf numFmtId="0" fontId="4" fillId="0" borderId="11" xfId="0" applyFont="1" applyFill="1" applyBorder="1" applyAlignment="1" applyProtection="1">
      <alignment horizontal="left" vertical="top" wrapText="1" readingOrder="1"/>
      <protection locked="0"/>
    </xf>
    <xf numFmtId="0" fontId="4" fillId="0" borderId="2" xfId="0" applyFont="1" applyFill="1" applyBorder="1" applyAlignment="1" applyProtection="1">
      <alignment horizontal="left" vertical="top" wrapText="1" readingOrder="1"/>
      <protection locked="0"/>
    </xf>
    <xf numFmtId="49" fontId="4" fillId="0" borderId="72" xfId="0" applyNumberFormat="1" applyFont="1" applyFill="1" applyBorder="1" applyAlignment="1" applyProtection="1">
      <alignment horizontal="center" vertical="top" wrapText="1" readingOrder="1"/>
      <protection locked="0"/>
    </xf>
    <xf numFmtId="0" fontId="4" fillId="0" borderId="64" xfId="0" applyNumberFormat="1" applyFont="1" applyFill="1" applyBorder="1" applyAlignment="1" applyProtection="1">
      <alignment horizontal="center" vertical="center" wrapText="1" shrinkToFit="1"/>
      <protection locked="0"/>
    </xf>
    <xf numFmtId="0" fontId="13" fillId="0" borderId="158" xfId="0" applyFont="1" applyFill="1" applyBorder="1" applyAlignment="1" applyProtection="1">
      <alignment horizontal="left" vertical="top" wrapText="1" readingOrder="1"/>
      <protection locked="0"/>
    </xf>
    <xf numFmtId="0" fontId="3" fillId="0" borderId="151" xfId="0" applyNumberFormat="1" applyFont="1" applyFill="1" applyBorder="1" applyAlignment="1" applyProtection="1">
      <alignment horizontal="center" vertical="top" wrapText="1" shrinkToFit="1"/>
      <protection locked="0"/>
    </xf>
    <xf numFmtId="0" fontId="4" fillId="0" borderId="62" xfId="0" applyNumberFormat="1" applyFont="1" applyFill="1" applyBorder="1" applyAlignment="1" applyProtection="1">
      <alignment horizontal="center" vertical="top" wrapText="1" shrinkToFit="1"/>
      <protection locked="0"/>
    </xf>
    <xf numFmtId="0" fontId="4" fillId="0" borderId="68" xfId="0" applyFont="1" applyFill="1" applyBorder="1" applyAlignment="1" applyProtection="1">
      <alignment horizontal="center" vertical="top" wrapText="1" readingOrder="1"/>
      <protection locked="0"/>
    </xf>
    <xf numFmtId="0" fontId="4" fillId="0" borderId="60" xfId="0" applyFont="1" applyFill="1" applyBorder="1" applyAlignment="1" applyProtection="1">
      <alignment horizontal="center" vertical="top" wrapText="1" readingOrder="1"/>
      <protection locked="0"/>
    </xf>
    <xf numFmtId="0" fontId="4" fillId="0" borderId="3" xfId="0" applyFont="1" applyFill="1" applyBorder="1" applyAlignment="1" applyProtection="1">
      <alignment horizontal="center" vertical="top" wrapText="1" readingOrder="1"/>
      <protection locked="0"/>
    </xf>
    <xf numFmtId="0" fontId="3" fillId="0" borderId="64" xfId="0" applyNumberFormat="1" applyFont="1" applyFill="1" applyBorder="1" applyAlignment="1" applyProtection="1">
      <alignment horizontal="center" vertical="top" wrapText="1" shrinkToFit="1" readingOrder="1"/>
      <protection locked="0"/>
    </xf>
    <xf numFmtId="0" fontId="6" fillId="0" borderId="11" xfId="0" applyNumberFormat="1" applyFont="1" applyFill="1" applyBorder="1" applyAlignment="1" applyProtection="1">
      <alignment horizontal="center" vertical="top" wrapText="1"/>
    </xf>
    <xf numFmtId="49" fontId="7" fillId="0" borderId="5" xfId="0" applyNumberFormat="1" applyFont="1" applyFill="1" applyBorder="1" applyAlignment="1" applyProtection="1">
      <alignment horizontal="center" vertical="top" wrapText="1" readingOrder="1"/>
      <protection locked="0"/>
    </xf>
    <xf numFmtId="0" fontId="3" fillId="0" borderId="10" xfId="0" applyNumberFormat="1" applyFont="1" applyFill="1" applyBorder="1" applyAlignment="1" applyProtection="1">
      <alignment horizontal="center" vertical="top" wrapText="1" shrinkToFit="1"/>
      <protection locked="0"/>
    </xf>
    <xf numFmtId="0" fontId="3" fillId="0" borderId="30" xfId="0" applyNumberFormat="1" applyFont="1" applyFill="1" applyBorder="1" applyAlignment="1" applyProtection="1">
      <alignment horizontal="center" vertical="top" wrapText="1" shrinkToFit="1"/>
      <protection locked="0"/>
    </xf>
    <xf numFmtId="0" fontId="4" fillId="0" borderId="5" xfId="0" applyNumberFormat="1" applyFont="1" applyFill="1" applyBorder="1" applyAlignment="1" applyProtection="1">
      <alignment horizontal="center" vertical="top" wrapText="1" shrinkToFit="1"/>
      <protection locked="0"/>
    </xf>
    <xf numFmtId="166" fontId="4" fillId="0" borderId="178" xfId="0" applyNumberFormat="1" applyFont="1" applyFill="1" applyBorder="1" applyAlignment="1" applyProtection="1">
      <alignment horizontal="right" vertical="top" wrapText="1" readingOrder="1"/>
      <protection locked="0"/>
    </xf>
    <xf numFmtId="0" fontId="4" fillId="0" borderId="4" xfId="0" applyNumberFormat="1" applyFont="1" applyFill="1" applyBorder="1" applyAlignment="1" applyProtection="1">
      <alignment horizontal="center" vertical="top" wrapText="1" shrinkToFit="1"/>
      <protection locked="0"/>
    </xf>
    <xf numFmtId="0" fontId="4" fillId="0" borderId="93" xfId="0" applyFont="1" applyFill="1" applyBorder="1" applyAlignment="1" applyProtection="1">
      <alignment horizontal="center" vertical="top" wrapText="1" readingOrder="1"/>
      <protection locked="0"/>
    </xf>
    <xf numFmtId="14" fontId="4" fillId="0" borderId="171" xfId="0" applyNumberFormat="1" applyFont="1" applyFill="1" applyBorder="1" applyAlignment="1" applyProtection="1">
      <alignment horizontal="center" vertical="top" wrapText="1" shrinkToFit="1"/>
      <protection locked="0"/>
    </xf>
    <xf numFmtId="14" fontId="4" fillId="0" borderId="5" xfId="0" applyNumberFormat="1" applyFont="1" applyFill="1" applyBorder="1" applyAlignment="1" applyProtection="1">
      <alignment horizontal="center" vertical="top" wrapText="1" shrinkToFit="1"/>
      <protection locked="0"/>
    </xf>
    <xf numFmtId="0" fontId="4" fillId="0" borderId="117" xfId="0" applyNumberFormat="1" applyFont="1" applyFill="1" applyBorder="1" applyAlignment="1" applyProtection="1">
      <alignment horizontal="center" vertical="top" wrapText="1" shrinkToFit="1"/>
      <protection locked="0"/>
    </xf>
    <xf numFmtId="14" fontId="4" fillId="0" borderId="62" xfId="0" applyNumberFormat="1" applyFont="1" applyFill="1" applyBorder="1" applyAlignment="1" applyProtection="1">
      <alignment horizontal="center" vertical="top" wrapText="1" shrinkToFit="1"/>
      <protection locked="0"/>
    </xf>
    <xf numFmtId="0" fontId="3" fillId="0" borderId="16" xfId="0" applyNumberFormat="1" applyFont="1" applyFill="1" applyBorder="1" applyAlignment="1" applyProtection="1">
      <alignment horizontal="center" vertical="top" wrapText="1" shrinkToFit="1"/>
      <protection locked="0"/>
    </xf>
    <xf numFmtId="0" fontId="4" fillId="0" borderId="64" xfId="0" applyNumberFormat="1" applyFont="1" applyFill="1" applyBorder="1" applyAlignment="1" applyProtection="1">
      <alignment horizontal="center" vertical="top" wrapText="1" shrinkToFit="1" readingOrder="1"/>
      <protection locked="0"/>
    </xf>
    <xf numFmtId="0" fontId="4" fillId="0" borderId="151" xfId="0" applyFont="1" applyFill="1" applyBorder="1" applyAlignment="1" applyProtection="1">
      <alignment horizontal="center" vertical="top" wrapText="1" readingOrder="1"/>
      <protection locked="0"/>
    </xf>
    <xf numFmtId="0" fontId="7" fillId="0" borderId="5" xfId="0" applyFont="1" applyFill="1" applyBorder="1" applyAlignment="1" applyProtection="1">
      <alignment horizontal="left" vertical="top" wrapText="1" readingOrder="1"/>
      <protection locked="0"/>
    </xf>
    <xf numFmtId="0" fontId="7" fillId="0" borderId="62" xfId="0" applyFont="1" applyFill="1" applyBorder="1" applyAlignment="1" applyProtection="1">
      <alignment horizontal="center" vertical="top" wrapText="1" readingOrder="1"/>
      <protection locked="0"/>
    </xf>
    <xf numFmtId="0" fontId="6" fillId="0" borderId="64" xfId="0" applyNumberFormat="1" applyFont="1" applyFill="1" applyBorder="1" applyAlignment="1" applyProtection="1">
      <alignment horizontal="center" vertical="top" wrapText="1" shrinkToFit="1"/>
      <protection locked="0"/>
    </xf>
    <xf numFmtId="0" fontId="4" fillId="0" borderId="210" xfId="0" applyFont="1" applyFill="1" applyBorder="1" applyAlignment="1" applyProtection="1">
      <alignment horizontal="center" vertical="top" wrapText="1" readingOrder="1"/>
      <protection locked="0"/>
    </xf>
    <xf numFmtId="0" fontId="4" fillId="0" borderId="210" xfId="0" applyNumberFormat="1" applyFont="1" applyFill="1" applyBorder="1" applyAlignment="1" applyProtection="1">
      <alignment horizontal="center" vertical="top" wrapText="1" shrinkToFit="1"/>
      <protection locked="0"/>
    </xf>
    <xf numFmtId="0" fontId="4" fillId="0" borderId="198" xfId="0" applyFont="1" applyFill="1" applyBorder="1" applyAlignment="1" applyProtection="1">
      <alignment horizontal="left" vertical="top" wrapText="1" readingOrder="1"/>
      <protection locked="0"/>
    </xf>
    <xf numFmtId="0" fontId="4" fillId="0" borderId="202" xfId="0" applyNumberFormat="1" applyFont="1" applyFill="1" applyBorder="1" applyAlignment="1" applyProtection="1">
      <alignment horizontal="center" vertical="top" wrapText="1" shrinkToFit="1"/>
      <protection locked="0"/>
    </xf>
    <xf numFmtId="0" fontId="4" fillId="0" borderId="68" xfId="0" applyFont="1" applyFill="1" applyBorder="1" applyAlignment="1" applyProtection="1">
      <alignment horizontal="left" vertical="top" wrapText="1" readingOrder="1"/>
      <protection locked="0"/>
    </xf>
    <xf numFmtId="0" fontId="4" fillId="0" borderId="210" xfId="0" applyNumberFormat="1" applyFont="1" applyFill="1" applyBorder="1" applyAlignment="1" applyProtection="1">
      <alignment horizontal="center" vertical="center" wrapText="1" shrinkToFit="1"/>
      <protection locked="0"/>
    </xf>
    <xf numFmtId="0" fontId="6" fillId="0" borderId="11" xfId="0" applyNumberFormat="1" applyFont="1" applyFill="1" applyBorder="1" applyAlignment="1" applyProtection="1">
      <alignment horizontal="center" vertical="top" wrapText="1" shrinkToFit="1"/>
      <protection locked="0"/>
    </xf>
    <xf numFmtId="0" fontId="6" fillId="0" borderId="7" xfId="0" applyNumberFormat="1" applyFont="1" applyFill="1" applyBorder="1" applyAlignment="1" applyProtection="1">
      <alignment horizontal="center" vertical="top" wrapText="1" shrinkToFit="1"/>
      <protection locked="0"/>
    </xf>
    <xf numFmtId="0" fontId="3" fillId="0" borderId="201" xfId="0" applyNumberFormat="1" applyFont="1" applyFill="1" applyBorder="1" applyAlignment="1" applyProtection="1">
      <alignment horizontal="center" vertical="top" wrapText="1" shrinkToFit="1"/>
      <protection locked="0"/>
    </xf>
    <xf numFmtId="14" fontId="3" fillId="0" borderId="62" xfId="0" applyNumberFormat="1" applyFont="1" applyFill="1" applyBorder="1" applyAlignment="1" applyProtection="1">
      <alignment horizontal="center" vertical="top" wrapText="1" shrinkToFit="1"/>
      <protection locked="0"/>
    </xf>
    <xf numFmtId="14" fontId="3" fillId="0" borderId="139" xfId="0" applyNumberFormat="1" applyFont="1" applyFill="1" applyBorder="1" applyAlignment="1" applyProtection="1">
      <alignment horizontal="center" vertical="top" wrapText="1" shrinkToFit="1"/>
      <protection locked="0"/>
    </xf>
    <xf numFmtId="0" fontId="4" fillId="0" borderId="201" xfId="0" applyNumberFormat="1" applyFont="1" applyFill="1" applyBorder="1" applyAlignment="1" applyProtection="1">
      <alignment horizontal="center" vertical="top" wrapText="1" shrinkToFit="1"/>
      <protection locked="0"/>
    </xf>
    <xf numFmtId="0" fontId="4" fillId="0" borderId="11" xfId="0" applyNumberFormat="1" applyFont="1" applyFill="1" applyBorder="1" applyAlignment="1" applyProtection="1">
      <alignment horizontal="center" vertical="center" wrapText="1" shrinkToFit="1"/>
      <protection locked="0"/>
    </xf>
    <xf numFmtId="0" fontId="6" fillId="0" borderId="1" xfId="0" applyNumberFormat="1" applyFont="1" applyFill="1" applyBorder="1" applyAlignment="1" applyProtection="1">
      <alignment horizontal="center" vertical="top" wrapText="1"/>
    </xf>
    <xf numFmtId="0" fontId="4" fillId="0" borderId="171" xfId="0" applyFont="1" applyFill="1" applyBorder="1" applyAlignment="1" applyProtection="1">
      <alignment horizontal="center" vertical="top" wrapText="1" readingOrder="1"/>
      <protection locked="0"/>
    </xf>
    <xf numFmtId="14" fontId="3" fillId="0" borderId="171" xfId="0" applyNumberFormat="1" applyFont="1" applyFill="1" applyBorder="1" applyAlignment="1" applyProtection="1">
      <alignment horizontal="center" vertical="top" wrapText="1" shrinkToFit="1"/>
      <protection locked="0"/>
    </xf>
    <xf numFmtId="0" fontId="4" fillId="0" borderId="67" xfId="0" applyFont="1" applyFill="1" applyBorder="1" applyAlignment="1" applyProtection="1">
      <alignment horizontal="center" vertical="top" wrapText="1" readingOrder="1"/>
      <protection locked="0"/>
    </xf>
    <xf numFmtId="0" fontId="6" fillId="0" borderId="210" xfId="0" applyNumberFormat="1" applyFont="1" applyFill="1" applyBorder="1" applyAlignment="1" applyProtection="1">
      <alignment horizontal="center" vertical="top" wrapText="1" shrinkToFit="1"/>
      <protection locked="0"/>
    </xf>
    <xf numFmtId="0" fontId="4" fillId="0" borderId="226" xfId="0" applyFont="1" applyFill="1" applyBorder="1" applyAlignment="1" applyProtection="1">
      <alignment horizontal="center" vertical="top" wrapText="1" readingOrder="1"/>
      <protection locked="0"/>
    </xf>
    <xf numFmtId="0" fontId="4" fillId="0" borderId="213" xfId="0" applyNumberFormat="1" applyFont="1" applyFill="1" applyBorder="1" applyAlignment="1" applyProtection="1">
      <alignment horizontal="center" vertical="top" wrapText="1" shrinkToFit="1"/>
      <protection locked="0"/>
    </xf>
    <xf numFmtId="14" fontId="4" fillId="0" borderId="213" xfId="0" applyNumberFormat="1" applyFont="1" applyFill="1" applyBorder="1" applyAlignment="1" applyProtection="1">
      <alignment horizontal="center" vertical="top" wrapText="1" shrinkToFit="1"/>
      <protection locked="0"/>
    </xf>
    <xf numFmtId="0" fontId="7" fillId="0" borderId="223" xfId="0" applyFont="1" applyFill="1" applyBorder="1" applyAlignment="1" applyProtection="1">
      <alignment vertical="top" wrapText="1" readingOrder="1"/>
      <protection locked="0"/>
    </xf>
    <xf numFmtId="0" fontId="7" fillId="0" borderId="223" xfId="0" applyFont="1" applyFill="1" applyBorder="1" applyAlignment="1" applyProtection="1">
      <alignment horizontal="center" vertical="top" wrapText="1" readingOrder="1"/>
      <protection locked="0"/>
    </xf>
    <xf numFmtId="0" fontId="9" fillId="0" borderId="223" xfId="0" applyNumberFormat="1" applyFont="1" applyFill="1" applyBorder="1" applyAlignment="1" applyProtection="1">
      <alignment horizontal="center" vertical="top" wrapText="1" shrinkToFit="1"/>
      <protection locked="0"/>
    </xf>
    <xf numFmtId="14" fontId="9" fillId="0" borderId="223" xfId="0" applyNumberFormat="1" applyFont="1" applyFill="1" applyBorder="1" applyAlignment="1" applyProtection="1">
      <alignment horizontal="center" vertical="top" wrapText="1" shrinkToFit="1"/>
      <protection locked="0"/>
    </xf>
    <xf numFmtId="0" fontId="7" fillId="0" borderId="223" xfId="0" applyNumberFormat="1" applyFont="1" applyFill="1" applyBorder="1" applyAlignment="1" applyProtection="1">
      <alignment horizontal="center" vertical="top" wrapText="1" shrinkToFit="1"/>
      <protection locked="0"/>
    </xf>
    <xf numFmtId="0" fontId="4" fillId="0" borderId="64" xfId="0" applyNumberFormat="1" applyFont="1" applyFill="1" applyBorder="1" applyAlignment="1" applyProtection="1">
      <alignment horizontal="center" vertical="top" wrapText="1" shrinkToFit="1"/>
      <protection locked="0"/>
    </xf>
    <xf numFmtId="0" fontId="4" fillId="0" borderId="223" xfId="0" applyNumberFormat="1" applyFont="1" applyFill="1" applyBorder="1" applyAlignment="1" applyProtection="1">
      <alignment horizontal="center" vertical="top" wrapText="1" shrinkToFit="1"/>
      <protection locked="0"/>
    </xf>
    <xf numFmtId="0" fontId="4" fillId="0" borderId="223" xfId="0" applyFont="1" applyFill="1" applyBorder="1" applyAlignment="1" applyProtection="1">
      <alignment horizontal="left" vertical="top" wrapText="1" readingOrder="1"/>
      <protection locked="0"/>
    </xf>
    <xf numFmtId="164" fontId="4" fillId="0" borderId="86" xfId="0" applyNumberFormat="1" applyFont="1" applyFill="1" applyBorder="1" applyAlignment="1" applyProtection="1">
      <alignment vertical="top" wrapText="1" readingOrder="1"/>
      <protection locked="0"/>
    </xf>
    <xf numFmtId="164" fontId="4" fillId="0" borderId="3" xfId="0" applyNumberFormat="1" applyFont="1" applyFill="1" applyBorder="1" applyAlignment="1" applyProtection="1">
      <alignment vertical="top" wrapText="1" readingOrder="1"/>
      <protection locked="0"/>
    </xf>
    <xf numFmtId="164" fontId="4" fillId="0" borderId="136" xfId="0" applyNumberFormat="1" applyFont="1" applyFill="1" applyBorder="1" applyAlignment="1" applyProtection="1">
      <alignment vertical="top" wrapText="1" readingOrder="1"/>
      <protection locked="0"/>
    </xf>
    <xf numFmtId="49" fontId="4" fillId="0" borderId="224" xfId="0" applyNumberFormat="1" applyFont="1" applyFill="1" applyBorder="1" applyAlignment="1" applyProtection="1">
      <alignment horizontal="center" vertical="top" wrapText="1" readingOrder="1"/>
      <protection locked="0"/>
    </xf>
    <xf numFmtId="49" fontId="4" fillId="0" borderId="225" xfId="0" applyNumberFormat="1" applyFont="1" applyFill="1" applyBorder="1" applyAlignment="1" applyProtection="1">
      <alignment horizontal="center" vertical="top" wrapText="1" readingOrder="1"/>
      <protection locked="0"/>
    </xf>
    <xf numFmtId="164" fontId="4" fillId="0" borderId="225" xfId="0" applyNumberFormat="1" applyFont="1" applyFill="1" applyBorder="1" applyAlignment="1" applyProtection="1">
      <alignment vertical="top" wrapText="1" readingOrder="1"/>
      <protection locked="0"/>
    </xf>
    <xf numFmtId="0" fontId="4" fillId="0" borderId="196" xfId="0" applyFont="1" applyFill="1" applyBorder="1" applyAlignment="1" applyProtection="1">
      <alignment horizontal="left" vertical="top" wrapText="1" readingOrder="1"/>
      <protection locked="0"/>
    </xf>
    <xf numFmtId="0" fontId="4" fillId="0" borderId="195" xfId="0" applyFont="1" applyFill="1" applyBorder="1" applyAlignment="1" applyProtection="1">
      <alignment horizontal="left" vertical="top" wrapText="1" readingOrder="1"/>
      <protection locked="0"/>
    </xf>
    <xf numFmtId="49" fontId="4" fillId="0" borderId="196" xfId="0" applyNumberFormat="1" applyFont="1" applyFill="1" applyBorder="1" applyAlignment="1" applyProtection="1">
      <alignment horizontal="center" vertical="top" wrapText="1" readingOrder="1"/>
      <protection locked="0"/>
    </xf>
    <xf numFmtId="49" fontId="4" fillId="0" borderId="217" xfId="0" applyNumberFormat="1" applyFont="1" applyFill="1" applyBorder="1" applyAlignment="1" applyProtection="1">
      <alignment horizontal="center" vertical="top" wrapText="1" readingOrder="1"/>
      <protection locked="0"/>
    </xf>
    <xf numFmtId="0" fontId="6" fillId="0" borderId="196" xfId="0" applyNumberFormat="1" applyFont="1" applyFill="1" applyBorder="1" applyAlignment="1" applyProtection="1">
      <alignment horizontal="center" vertical="top" wrapText="1"/>
    </xf>
    <xf numFmtId="0" fontId="6" fillId="0" borderId="195" xfId="0" applyNumberFormat="1" applyFont="1" applyFill="1" applyBorder="1" applyAlignment="1" applyProtection="1">
      <alignment horizontal="center" vertical="top" wrapText="1"/>
    </xf>
    <xf numFmtId="0" fontId="4" fillId="0" borderId="178" xfId="0" applyFont="1" applyFill="1" applyBorder="1" applyAlignment="1" applyProtection="1">
      <alignment horizontal="left" vertical="top" wrapText="1" readingOrder="1"/>
      <protection locked="0"/>
    </xf>
    <xf numFmtId="0" fontId="4" fillId="0" borderId="191" xfId="0" applyFont="1" applyFill="1" applyBorder="1" applyAlignment="1" applyProtection="1">
      <alignment horizontal="center" vertical="top" wrapText="1" readingOrder="1"/>
      <protection locked="0"/>
    </xf>
    <xf numFmtId="0" fontId="4" fillId="0" borderId="178" xfId="0" applyFont="1" applyFill="1" applyBorder="1" applyAlignment="1" applyProtection="1">
      <alignment horizontal="center" vertical="top" wrapText="1" readingOrder="1"/>
      <protection locked="0"/>
    </xf>
    <xf numFmtId="0" fontId="4" fillId="0" borderId="195" xfId="0" applyFont="1" applyFill="1" applyBorder="1" applyAlignment="1" applyProtection="1">
      <alignment horizontal="center" vertical="top" wrapText="1" readingOrder="1"/>
      <protection locked="0"/>
    </xf>
    <xf numFmtId="0" fontId="7" fillId="0" borderId="191" xfId="0" applyFont="1" applyFill="1" applyBorder="1" applyAlignment="1" applyProtection="1">
      <alignment horizontal="left" vertical="top" wrapText="1" readingOrder="1"/>
      <protection locked="0"/>
    </xf>
    <xf numFmtId="0" fontId="7" fillId="0" borderId="189" xfId="0" applyFont="1" applyFill="1" applyBorder="1" applyAlignment="1" applyProtection="1">
      <alignment horizontal="left" vertical="top" wrapText="1" readingOrder="1"/>
      <protection locked="0"/>
    </xf>
    <xf numFmtId="0" fontId="7" fillId="0" borderId="191" xfId="0" applyFont="1" applyFill="1" applyBorder="1" applyAlignment="1" applyProtection="1">
      <alignment horizontal="center" vertical="top" wrapText="1" readingOrder="1"/>
      <protection locked="0"/>
    </xf>
    <xf numFmtId="0" fontId="7" fillId="0" borderId="189" xfId="0" applyFont="1" applyFill="1" applyBorder="1" applyAlignment="1" applyProtection="1">
      <alignment horizontal="center" vertical="top" wrapText="1" readingOrder="1"/>
      <protection locked="0"/>
    </xf>
    <xf numFmtId="0" fontId="7" fillId="0" borderId="178" xfId="0" applyFont="1" applyFill="1" applyBorder="1" applyAlignment="1" applyProtection="1">
      <alignment horizontal="left" vertical="top" wrapText="1" readingOrder="1"/>
      <protection locked="0"/>
    </xf>
    <xf numFmtId="0" fontId="4" fillId="0" borderId="177" xfId="0" applyFont="1" applyFill="1" applyBorder="1" applyAlignment="1" applyProtection="1">
      <alignment horizontal="left" vertical="top" wrapText="1" readingOrder="1"/>
      <protection locked="0"/>
    </xf>
    <xf numFmtId="0" fontId="4" fillId="0" borderId="139" xfId="0" applyFont="1" applyFill="1" applyBorder="1" applyAlignment="1" applyProtection="1">
      <alignment horizontal="left" vertical="top" wrapText="1" readingOrder="1"/>
      <protection locked="0"/>
    </xf>
    <xf numFmtId="0" fontId="4" fillId="0" borderId="168" xfId="0" applyFont="1" applyFill="1" applyBorder="1" applyAlignment="1" applyProtection="1">
      <alignment horizontal="center" vertical="top" wrapText="1" readingOrder="1"/>
      <protection locked="0"/>
    </xf>
    <xf numFmtId="0" fontId="4" fillId="0" borderId="62" xfId="0" applyFont="1" applyFill="1" applyBorder="1" applyAlignment="1" applyProtection="1">
      <alignment horizontal="center" vertical="top" wrapText="1" readingOrder="1"/>
      <protection locked="0"/>
    </xf>
    <xf numFmtId="0" fontId="4" fillId="0" borderId="112" xfId="0" applyFont="1" applyFill="1" applyBorder="1" applyAlignment="1" applyProtection="1">
      <alignment horizontal="center" vertical="top" wrapText="1" readingOrder="1"/>
      <protection locked="0"/>
    </xf>
    <xf numFmtId="49" fontId="4" fillId="0" borderId="91" xfId="0" applyNumberFormat="1" applyFont="1" applyFill="1" applyBorder="1" applyAlignment="1" applyProtection="1">
      <alignment horizontal="center" vertical="top" wrapText="1" readingOrder="1"/>
      <protection locked="0"/>
    </xf>
    <xf numFmtId="49" fontId="4" fillId="0" borderId="54" xfId="0" applyNumberFormat="1" applyFont="1" applyFill="1" applyBorder="1" applyAlignment="1" applyProtection="1">
      <alignment horizontal="center" vertical="top" wrapText="1" readingOrder="1"/>
      <protection locked="0"/>
    </xf>
    <xf numFmtId="0" fontId="4" fillId="0" borderId="91" xfId="0" applyFont="1" applyFill="1" applyBorder="1" applyAlignment="1" applyProtection="1">
      <alignment horizontal="center" vertical="top" wrapText="1" readingOrder="1"/>
      <protection locked="0"/>
    </xf>
    <xf numFmtId="0" fontId="4" fillId="0" borderId="54" xfId="0" applyFont="1" applyFill="1" applyBorder="1" applyAlignment="1" applyProtection="1">
      <alignment horizontal="center" vertical="top" wrapText="1" readingOrder="1"/>
      <protection locked="0"/>
    </xf>
    <xf numFmtId="0" fontId="6" fillId="0" borderId="196" xfId="0" applyNumberFormat="1" applyFont="1" applyFill="1" applyBorder="1" applyAlignment="1" applyProtection="1">
      <alignment horizontal="center" vertical="top" wrapText="1" shrinkToFit="1" readingOrder="1"/>
      <protection locked="0"/>
    </xf>
    <xf numFmtId="0" fontId="6" fillId="0" borderId="210" xfId="0" applyNumberFormat="1" applyFont="1" applyFill="1" applyBorder="1" applyAlignment="1" applyProtection="1">
      <alignment horizontal="center" vertical="top" wrapText="1" shrinkToFit="1" readingOrder="1"/>
      <protection locked="0"/>
    </xf>
    <xf numFmtId="0" fontId="4" fillId="0" borderId="139" xfId="0" applyFont="1" applyFill="1" applyBorder="1" applyAlignment="1" applyProtection="1">
      <alignment horizontal="center" vertical="top" wrapText="1" readingOrder="1"/>
      <protection locked="0"/>
    </xf>
    <xf numFmtId="0" fontId="4" fillId="0" borderId="189" xfId="0" applyFont="1" applyFill="1" applyBorder="1" applyAlignment="1" applyProtection="1">
      <alignment horizontal="center" vertical="top" wrapText="1" readingOrder="1"/>
      <protection locked="0"/>
    </xf>
    <xf numFmtId="0" fontId="4" fillId="0" borderId="190" xfId="0" applyFont="1" applyFill="1" applyBorder="1" applyAlignment="1" applyProtection="1">
      <alignment horizontal="center" vertical="top" wrapText="1" readingOrder="1"/>
      <protection locked="0"/>
    </xf>
    <xf numFmtId="0" fontId="4" fillId="0" borderId="178" xfId="0" applyFont="1" applyFill="1" applyBorder="1" applyAlignment="1">
      <alignment horizontal="center" vertical="top" wrapText="1"/>
    </xf>
    <xf numFmtId="0" fontId="4" fillId="0" borderId="62" xfId="0" applyFont="1" applyFill="1" applyBorder="1" applyAlignment="1">
      <alignment horizontal="center" vertical="top" wrapText="1"/>
    </xf>
    <xf numFmtId="0" fontId="4" fillId="0" borderId="165" xfId="0" applyFont="1" applyFill="1" applyBorder="1" applyAlignment="1" applyProtection="1">
      <alignment horizontal="left" vertical="top" wrapText="1" readingOrder="1"/>
      <protection locked="0"/>
    </xf>
    <xf numFmtId="0" fontId="4" fillId="0" borderId="166" xfId="0" applyFont="1" applyFill="1" applyBorder="1" applyAlignment="1" applyProtection="1">
      <alignment horizontal="left" vertical="top" wrapText="1" readingOrder="1"/>
      <protection locked="0"/>
    </xf>
    <xf numFmtId="0" fontId="6" fillId="0" borderId="168" xfId="0" applyNumberFormat="1" applyFont="1" applyFill="1" applyBorder="1" applyAlignment="1" applyProtection="1">
      <alignment horizontal="center" vertical="top" wrapText="1" shrinkToFit="1"/>
      <protection locked="0"/>
    </xf>
    <xf numFmtId="0" fontId="6" fillId="0" borderId="139" xfId="0" applyNumberFormat="1" applyFont="1" applyFill="1" applyBorder="1" applyAlignment="1" applyProtection="1">
      <alignment horizontal="center" vertical="top" wrapText="1" shrinkToFit="1"/>
      <protection locked="0"/>
    </xf>
    <xf numFmtId="0" fontId="7" fillId="0" borderId="5" xfId="0" applyFont="1" applyFill="1" applyBorder="1" applyAlignment="1" applyProtection="1">
      <alignment horizontal="center" vertical="top" wrapText="1" readingOrder="1"/>
      <protection locked="0"/>
    </xf>
    <xf numFmtId="49" fontId="4" fillId="0" borderId="6" xfId="0" applyNumberFormat="1" applyFont="1" applyFill="1" applyBorder="1" applyAlignment="1" applyProtection="1">
      <alignment horizontal="center" vertical="top" wrapText="1" readingOrder="1"/>
      <protection locked="0"/>
    </xf>
    <xf numFmtId="49" fontId="4" fillId="0" borderId="178" xfId="0" applyNumberFormat="1" applyFont="1" applyFill="1" applyBorder="1" applyAlignment="1" applyProtection="1">
      <alignment horizontal="center" vertical="top" wrapText="1" readingOrder="1"/>
      <protection locked="0"/>
    </xf>
    <xf numFmtId="0" fontId="4" fillId="0" borderId="6" xfId="0" applyFont="1" applyFill="1" applyBorder="1" applyAlignment="1" applyProtection="1">
      <alignment horizontal="center" vertical="top" wrapText="1" readingOrder="1"/>
      <protection locked="0"/>
    </xf>
    <xf numFmtId="49" fontId="4" fillId="0" borderId="74" xfId="0" applyNumberFormat="1" applyFont="1" applyFill="1" applyBorder="1" applyAlignment="1" applyProtection="1">
      <alignment horizontal="center" vertical="top" wrapText="1" readingOrder="1"/>
      <protection locked="0"/>
    </xf>
    <xf numFmtId="49" fontId="4" fillId="0" borderId="190" xfId="0" applyNumberFormat="1" applyFont="1" applyFill="1" applyBorder="1" applyAlignment="1" applyProtection="1">
      <alignment horizontal="center" vertical="top" wrapText="1" readingOrder="1"/>
      <protection locked="0"/>
    </xf>
    <xf numFmtId="49" fontId="4" fillId="0" borderId="189" xfId="0" applyNumberFormat="1" applyFont="1" applyFill="1" applyBorder="1" applyAlignment="1" applyProtection="1">
      <alignment horizontal="center" vertical="top" wrapText="1" readingOrder="1"/>
      <protection locked="0"/>
    </xf>
    <xf numFmtId="0" fontId="4" fillId="0" borderId="210" xfId="0" applyFont="1" applyFill="1" applyBorder="1" applyAlignment="1">
      <alignment horizontal="center" vertical="top" wrapText="1"/>
    </xf>
    <xf numFmtId="0" fontId="4" fillId="0" borderId="212" xfId="0" applyFont="1" applyFill="1" applyBorder="1" applyAlignment="1">
      <alignment horizontal="center" vertical="top" wrapText="1"/>
    </xf>
    <xf numFmtId="0" fontId="6" fillId="0" borderId="168" xfId="0" applyNumberFormat="1" applyFont="1" applyFill="1" applyBorder="1" applyAlignment="1" applyProtection="1">
      <alignment horizontal="center" vertical="top" wrapText="1"/>
    </xf>
    <xf numFmtId="0" fontId="6" fillId="0" borderId="62" xfId="0" applyNumberFormat="1" applyFont="1" applyFill="1" applyBorder="1" applyAlignment="1" applyProtection="1">
      <alignment horizontal="center" vertical="top" wrapText="1"/>
    </xf>
    <xf numFmtId="0" fontId="6" fillId="0" borderId="139" xfId="0" applyNumberFormat="1" applyFont="1" applyFill="1" applyBorder="1" applyAlignment="1" applyProtection="1">
      <alignment horizontal="center" vertical="top" wrapText="1"/>
    </xf>
    <xf numFmtId="0" fontId="4" fillId="0" borderId="201" xfId="1" applyNumberFormat="1" applyFont="1" applyFill="1" applyBorder="1" applyAlignment="1">
      <alignment horizontal="center" vertical="top" wrapText="1"/>
    </xf>
    <xf numFmtId="0" fontId="3" fillId="0" borderId="64" xfId="0" applyNumberFormat="1" applyFont="1" applyFill="1" applyBorder="1" applyAlignment="1" applyProtection="1">
      <alignment horizontal="center" vertical="top" wrapText="1" shrinkToFit="1"/>
      <protection locked="0"/>
    </xf>
    <xf numFmtId="0" fontId="3" fillId="0" borderId="86" xfId="0" applyNumberFormat="1" applyFont="1" applyFill="1" applyBorder="1" applyAlignment="1" applyProtection="1">
      <alignment horizontal="center" vertical="top" wrapText="1" shrinkToFit="1"/>
      <protection locked="0"/>
    </xf>
    <xf numFmtId="14" fontId="3" fillId="0" borderId="64" xfId="0" applyNumberFormat="1" applyFont="1" applyFill="1" applyBorder="1" applyAlignment="1" applyProtection="1">
      <alignment horizontal="center" vertical="top" wrapText="1" shrinkToFit="1"/>
      <protection locked="0"/>
    </xf>
    <xf numFmtId="14" fontId="3" fillId="0" borderId="2" xfId="0" applyNumberFormat="1" applyFont="1" applyFill="1" applyBorder="1" applyAlignment="1" applyProtection="1">
      <alignment horizontal="center" vertical="top" wrapText="1" shrinkToFit="1"/>
      <protection locked="0"/>
    </xf>
    <xf numFmtId="14" fontId="3" fillId="0" borderId="7" xfId="0" applyNumberFormat="1" applyFont="1" applyFill="1" applyBorder="1" applyAlignment="1" applyProtection="1">
      <alignment horizontal="center" vertical="top" wrapText="1" shrinkToFit="1"/>
      <protection locked="0"/>
    </xf>
    <xf numFmtId="0" fontId="3" fillId="0" borderId="6" xfId="0" applyNumberFormat="1" applyFont="1" applyFill="1" applyBorder="1" applyAlignment="1" applyProtection="1">
      <alignment horizontal="center" vertical="top" wrapText="1" shrinkToFit="1"/>
      <protection locked="0"/>
    </xf>
    <xf numFmtId="0" fontId="3" fillId="0" borderId="4" xfId="0" applyNumberFormat="1" applyFont="1" applyFill="1" applyBorder="1" applyAlignment="1" applyProtection="1">
      <alignment horizontal="center" vertical="top" wrapText="1" shrinkToFit="1"/>
      <protection locked="0"/>
    </xf>
    <xf numFmtId="0" fontId="3" fillId="0" borderId="2" xfId="0" applyNumberFormat="1" applyFont="1" applyFill="1" applyBorder="1" applyAlignment="1" applyProtection="1">
      <alignment horizontal="center" vertical="top" wrapText="1" shrinkToFit="1"/>
      <protection locked="0"/>
    </xf>
    <xf numFmtId="0" fontId="3" fillId="0" borderId="7" xfId="0" applyNumberFormat="1" applyFont="1" applyFill="1" applyBorder="1" applyAlignment="1" applyProtection="1">
      <alignment horizontal="center" vertical="top" wrapText="1" shrinkToFit="1"/>
      <protection locked="0"/>
    </xf>
    <xf numFmtId="0" fontId="4" fillId="0" borderId="64" xfId="0" applyNumberFormat="1" applyFont="1" applyFill="1" applyBorder="1" applyAlignment="1" applyProtection="1">
      <alignment horizontal="center" vertical="top" wrapText="1" shrinkToFit="1"/>
      <protection locked="0"/>
    </xf>
    <xf numFmtId="0" fontId="4" fillId="0" borderId="11" xfId="0" applyFont="1" applyFill="1" applyBorder="1" applyAlignment="1" applyProtection="1">
      <alignment horizontal="center" vertical="top" wrapText="1" readingOrder="1"/>
      <protection locked="0"/>
    </xf>
    <xf numFmtId="0" fontId="4" fillId="0" borderId="2" xfId="0" applyFont="1" applyFill="1" applyBorder="1" applyAlignment="1" applyProtection="1">
      <alignment horizontal="center" vertical="top" wrapText="1" readingOrder="1"/>
      <protection locked="0"/>
    </xf>
    <xf numFmtId="0" fontId="4" fillId="0" borderId="177" xfId="0" applyFont="1" applyFill="1" applyBorder="1" applyAlignment="1" applyProtection="1">
      <alignment horizontal="center" vertical="top" wrapText="1" readingOrder="1"/>
      <protection locked="0"/>
    </xf>
    <xf numFmtId="0" fontId="4" fillId="0" borderId="5" xfId="0" applyFont="1" applyFill="1" applyBorder="1" applyAlignment="1" applyProtection="1">
      <alignment horizontal="center" vertical="top" wrapText="1" readingOrder="1"/>
      <protection locked="0"/>
    </xf>
    <xf numFmtId="0" fontId="3" fillId="0" borderId="162" xfId="0" applyNumberFormat="1" applyFont="1" applyFill="1" applyBorder="1" applyAlignment="1" applyProtection="1">
      <alignment horizontal="center" vertical="top" wrapText="1" shrinkToFit="1"/>
      <protection locked="0"/>
    </xf>
    <xf numFmtId="0" fontId="4" fillId="0" borderId="162" xfId="0" applyNumberFormat="1" applyFont="1" applyFill="1" applyBorder="1" applyAlignment="1" applyProtection="1">
      <alignment horizontal="center" vertical="top" wrapText="1" shrinkToFit="1"/>
      <protection locked="0"/>
    </xf>
    <xf numFmtId="14" fontId="4" fillId="0" borderId="162" xfId="0" applyNumberFormat="1" applyFont="1" applyFill="1" applyBorder="1" applyAlignment="1" applyProtection="1">
      <alignment horizontal="center" vertical="top" wrapText="1" shrinkToFit="1"/>
      <protection locked="0"/>
    </xf>
    <xf numFmtId="14" fontId="4" fillId="0" borderId="64" xfId="0" applyNumberFormat="1" applyFont="1" applyFill="1" applyBorder="1" applyAlignment="1" applyProtection="1">
      <alignment horizontal="center" vertical="top" wrapText="1" shrinkToFit="1"/>
      <protection locked="0"/>
    </xf>
    <xf numFmtId="0" fontId="3" fillId="0" borderId="158" xfId="0" applyNumberFormat="1" applyFont="1" applyFill="1" applyBorder="1" applyAlignment="1" applyProtection="1">
      <alignment horizontal="center" vertical="top" wrapText="1" shrinkToFit="1"/>
      <protection locked="0"/>
    </xf>
    <xf numFmtId="0" fontId="3" fillId="0" borderId="62" xfId="0" applyNumberFormat="1" applyFont="1" applyFill="1" applyBorder="1" applyAlignment="1" applyProtection="1">
      <alignment horizontal="center" vertical="top" wrapText="1" shrinkToFit="1"/>
      <protection locked="0"/>
    </xf>
    <xf numFmtId="0" fontId="6" fillId="0" borderId="162" xfId="0" applyNumberFormat="1" applyFont="1" applyFill="1" applyBorder="1" applyAlignment="1" applyProtection="1">
      <alignment horizontal="center" vertical="top" wrapText="1"/>
    </xf>
    <xf numFmtId="0" fontId="6" fillId="0" borderId="64" xfId="0" applyNumberFormat="1" applyFont="1" applyFill="1" applyBorder="1" applyAlignment="1" applyProtection="1">
      <alignment horizontal="center" vertical="top" wrapText="1"/>
    </xf>
    <xf numFmtId="14" fontId="3" fillId="0" borderId="162" xfId="0" applyNumberFormat="1" applyFont="1" applyFill="1" applyBorder="1" applyAlignment="1" applyProtection="1">
      <alignment horizontal="center" vertical="top" wrapText="1" shrinkToFit="1"/>
      <protection locked="0"/>
    </xf>
    <xf numFmtId="0" fontId="4" fillId="0" borderId="162" xfId="0" applyFont="1" applyFill="1" applyBorder="1" applyAlignment="1" applyProtection="1">
      <alignment horizontal="center" vertical="top" wrapText="1" readingOrder="1"/>
      <protection locked="0"/>
    </xf>
    <xf numFmtId="0" fontId="4" fillId="0" borderId="64" xfId="0" applyFont="1" applyFill="1" applyBorder="1" applyAlignment="1" applyProtection="1">
      <alignment horizontal="center" vertical="top" wrapText="1" readingOrder="1"/>
      <protection locked="0"/>
    </xf>
    <xf numFmtId="0" fontId="3" fillId="0" borderId="5" xfId="0" applyNumberFormat="1" applyFont="1" applyFill="1" applyBorder="1" applyAlignment="1" applyProtection="1">
      <alignment horizontal="center" vertical="top" wrapText="1" shrinkToFit="1"/>
      <protection locked="0"/>
    </xf>
    <xf numFmtId="0" fontId="3" fillId="0" borderId="213" xfId="0" applyNumberFormat="1" applyFont="1" applyFill="1" applyBorder="1" applyAlignment="1" applyProtection="1">
      <alignment horizontal="center" vertical="top" wrapText="1" shrinkToFit="1"/>
      <protection locked="0"/>
    </xf>
    <xf numFmtId="0" fontId="4" fillId="0" borderId="213" xfId="0" applyFont="1" applyFill="1" applyBorder="1" applyAlignment="1" applyProtection="1">
      <alignment horizontal="center" vertical="top" wrapText="1" readingOrder="1"/>
      <protection locked="0"/>
    </xf>
    <xf numFmtId="0" fontId="4" fillId="0" borderId="212" xfId="0" applyFont="1" applyFill="1" applyBorder="1" applyAlignment="1" applyProtection="1">
      <alignment horizontal="center" vertical="top" wrapText="1" readingOrder="1"/>
      <protection locked="0"/>
    </xf>
    <xf numFmtId="0" fontId="3" fillId="0" borderId="11" xfId="0" applyNumberFormat="1" applyFont="1" applyFill="1" applyBorder="1" applyAlignment="1" applyProtection="1">
      <alignment horizontal="center" vertical="top" wrapText="1" shrinkToFit="1"/>
      <protection locked="0"/>
    </xf>
    <xf numFmtId="0" fontId="6" fillId="0" borderId="78" xfId="0" applyNumberFormat="1" applyFont="1" applyFill="1" applyBorder="1" applyAlignment="1" applyProtection="1">
      <alignment horizontal="center" vertical="top" wrapText="1"/>
    </xf>
    <xf numFmtId="0" fontId="6" fillId="0" borderId="54" xfId="0" applyNumberFormat="1" applyFont="1" applyFill="1" applyBorder="1" applyAlignment="1" applyProtection="1">
      <alignment horizontal="center" vertical="top" wrapText="1"/>
    </xf>
    <xf numFmtId="0" fontId="3" fillId="0" borderId="156" xfId="0" applyNumberFormat="1" applyFont="1" applyFill="1" applyBorder="1" applyAlignment="1" applyProtection="1">
      <alignment horizontal="center" vertical="top" wrapText="1" shrinkToFit="1"/>
      <protection locked="0"/>
    </xf>
    <xf numFmtId="0" fontId="4" fillId="0" borderId="204" xfId="0" applyNumberFormat="1" applyFont="1" applyFill="1" applyBorder="1" applyAlignment="1" applyProtection="1">
      <alignment horizontal="center" vertical="top" wrapText="1" shrinkToFit="1"/>
      <protection locked="0"/>
    </xf>
    <xf numFmtId="0" fontId="4" fillId="0" borderId="186" xfId="0" applyNumberFormat="1" applyFont="1" applyFill="1" applyBorder="1" applyAlignment="1" applyProtection="1">
      <alignment horizontal="center" vertical="top" wrapText="1" shrinkToFit="1"/>
      <protection locked="0"/>
    </xf>
    <xf numFmtId="0" fontId="0" fillId="0" borderId="64" xfId="0" applyFill="1" applyBorder="1"/>
    <xf numFmtId="0" fontId="6" fillId="0" borderId="171" xfId="0" applyNumberFormat="1" applyFont="1" applyFill="1" applyBorder="1" applyAlignment="1" applyProtection="1">
      <alignment horizontal="center" vertical="top" wrapText="1"/>
    </xf>
    <xf numFmtId="0" fontId="6" fillId="0" borderId="186" xfId="0" applyNumberFormat="1" applyFont="1" applyFill="1" applyBorder="1" applyAlignment="1" applyProtection="1">
      <alignment horizontal="center" vertical="top" wrapText="1"/>
    </xf>
    <xf numFmtId="0" fontId="4" fillId="0" borderId="64" xfId="0" applyFont="1" applyFill="1" applyBorder="1" applyAlignment="1" applyProtection="1">
      <alignment horizontal="left" vertical="top" wrapText="1" readingOrder="1"/>
      <protection locked="0"/>
    </xf>
    <xf numFmtId="0" fontId="4" fillId="0" borderId="120" xfId="0" applyNumberFormat="1" applyFont="1" applyFill="1" applyBorder="1" applyAlignment="1" applyProtection="1">
      <alignment horizontal="center" vertical="top" wrapText="1" shrinkToFit="1"/>
      <protection locked="0"/>
    </xf>
    <xf numFmtId="0" fontId="7" fillId="0" borderId="64" xfId="0" applyFont="1" applyFill="1" applyBorder="1" applyAlignment="1" applyProtection="1">
      <alignment horizontal="left" vertical="top" wrapText="1" readingOrder="1"/>
      <protection locked="0"/>
    </xf>
    <xf numFmtId="0" fontId="7" fillId="0" borderId="7" xfId="0" applyFont="1" applyFill="1" applyBorder="1" applyAlignment="1" applyProtection="1">
      <alignment horizontal="left" vertical="top" wrapText="1" readingOrder="1"/>
      <protection locked="0"/>
    </xf>
    <xf numFmtId="0" fontId="4" fillId="0" borderId="68" xfId="0" applyNumberFormat="1" applyFont="1" applyFill="1" applyBorder="1" applyAlignment="1" applyProtection="1">
      <alignment horizontal="center" vertical="center" wrapText="1" shrinkToFit="1"/>
      <protection locked="0"/>
    </xf>
    <xf numFmtId="14" fontId="4" fillId="0" borderId="68" xfId="0" applyNumberFormat="1" applyFont="1" applyFill="1" applyBorder="1" applyAlignment="1" applyProtection="1">
      <alignment horizontal="center" vertical="top" wrapText="1" shrinkToFit="1"/>
      <protection locked="0"/>
    </xf>
    <xf numFmtId="0" fontId="4" fillId="0" borderId="68" xfId="0" applyNumberFormat="1" applyFont="1" applyFill="1" applyBorder="1" applyAlignment="1" applyProtection="1">
      <alignment horizontal="center" vertical="top" wrapText="1" shrinkToFit="1"/>
      <protection locked="0"/>
    </xf>
    <xf numFmtId="0" fontId="4" fillId="0" borderId="133" xfId="0" applyNumberFormat="1" applyFont="1" applyFill="1" applyBorder="1" applyAlignment="1" applyProtection="1">
      <alignment horizontal="center" vertical="top" wrapText="1" shrinkToFit="1"/>
      <protection locked="0"/>
    </xf>
    <xf numFmtId="0" fontId="4" fillId="0" borderId="62" xfId="0" applyFont="1" applyFill="1" applyBorder="1" applyAlignment="1" applyProtection="1">
      <alignment horizontal="left" vertical="top" wrapText="1" readingOrder="1"/>
      <protection locked="0"/>
    </xf>
    <xf numFmtId="0" fontId="4" fillId="0" borderId="154" xfId="0" applyFont="1" applyFill="1" applyBorder="1" applyAlignment="1" applyProtection="1">
      <alignment horizontal="left" vertical="top" wrapText="1" readingOrder="1"/>
      <protection locked="0"/>
    </xf>
    <xf numFmtId="0" fontId="6" fillId="0" borderId="7" xfId="0" applyNumberFormat="1" applyFont="1" applyFill="1" applyBorder="1" applyAlignment="1" applyProtection="1">
      <alignment horizontal="center" vertical="top" wrapText="1"/>
    </xf>
    <xf numFmtId="0" fontId="3" fillId="0" borderId="120" xfId="0" applyNumberFormat="1" applyFont="1" applyFill="1" applyBorder="1" applyAlignment="1" applyProtection="1">
      <alignment horizontal="center" vertical="top" wrapText="1" shrinkToFit="1"/>
      <protection locked="0"/>
    </xf>
    <xf numFmtId="0" fontId="4" fillId="0" borderId="68" xfId="0" applyFont="1" applyFill="1" applyBorder="1" applyAlignment="1" applyProtection="1">
      <alignment horizontal="center" vertical="center" wrapText="1" readingOrder="1"/>
      <protection locked="0"/>
    </xf>
    <xf numFmtId="14" fontId="4" fillId="0" borderId="68" xfId="0" applyNumberFormat="1" applyFont="1" applyFill="1" applyBorder="1" applyAlignment="1" applyProtection="1">
      <alignment horizontal="center" vertical="center" wrapText="1" shrinkToFit="1"/>
      <protection locked="0"/>
    </xf>
    <xf numFmtId="0" fontId="4" fillId="0" borderId="178" xfId="0" applyNumberFormat="1" applyFont="1" applyFill="1" applyBorder="1" applyAlignment="1" applyProtection="1">
      <alignment horizontal="center" vertical="top" wrapText="1" shrinkToFit="1"/>
      <protection locked="0"/>
    </xf>
    <xf numFmtId="0" fontId="4" fillId="0" borderId="171" xfId="0" applyNumberFormat="1" applyFont="1" applyFill="1" applyBorder="1" applyAlignment="1" applyProtection="1">
      <alignment horizontal="center" vertical="top" wrapText="1" shrinkToFit="1"/>
      <protection locked="0"/>
    </xf>
    <xf numFmtId="14" fontId="4" fillId="0" borderId="61" xfId="0" applyNumberFormat="1" applyFont="1" applyFill="1" applyBorder="1" applyAlignment="1" applyProtection="1">
      <alignment horizontal="center" vertical="top" wrapText="1" shrinkToFit="1"/>
      <protection locked="0"/>
    </xf>
    <xf numFmtId="0" fontId="4" fillId="0" borderId="120" xfId="0" applyFont="1" applyFill="1" applyBorder="1" applyAlignment="1" applyProtection="1">
      <alignment horizontal="center" vertical="top" wrapText="1" readingOrder="1"/>
      <protection locked="0"/>
    </xf>
    <xf numFmtId="0" fontId="4" fillId="0" borderId="55" xfId="0" applyFont="1" applyFill="1" applyBorder="1" applyAlignment="1" applyProtection="1">
      <alignment horizontal="center" vertical="top" wrapText="1" readingOrder="1"/>
      <protection locked="0"/>
    </xf>
    <xf numFmtId="0" fontId="4" fillId="0" borderId="9" xfId="0" applyFont="1" applyFill="1" applyBorder="1" applyAlignment="1" applyProtection="1">
      <alignment horizontal="center" vertical="center" wrapText="1" readingOrder="1"/>
      <protection locked="0"/>
    </xf>
    <xf numFmtId="0" fontId="4" fillId="0" borderId="9" xfId="0" applyFont="1" applyFill="1" applyBorder="1" applyAlignment="1" applyProtection="1">
      <alignment horizontal="center" vertical="top" wrapText="1" readingOrder="1"/>
      <protection locked="0"/>
    </xf>
    <xf numFmtId="0" fontId="4" fillId="0" borderId="156" xfId="0" applyFont="1" applyFill="1" applyBorder="1" applyAlignment="1" applyProtection="1">
      <alignment horizontal="center" vertical="top" wrapText="1" readingOrder="1"/>
      <protection locked="0"/>
    </xf>
    <xf numFmtId="0" fontId="4" fillId="0" borderId="124" xfId="0" applyFont="1" applyFill="1" applyBorder="1" applyAlignment="1" applyProtection="1">
      <alignment horizontal="center" vertical="top" wrapText="1" readingOrder="1"/>
      <protection locked="0"/>
    </xf>
    <xf numFmtId="0" fontId="4" fillId="0" borderId="7" xfId="0" applyFont="1" applyFill="1" applyBorder="1" applyAlignment="1" applyProtection="1">
      <alignment horizontal="center" vertical="top" wrapText="1" readingOrder="1"/>
      <protection locked="0"/>
    </xf>
    <xf numFmtId="0" fontId="4" fillId="0" borderId="171" xfId="0" applyFont="1" applyFill="1" applyBorder="1" applyAlignment="1" applyProtection="1">
      <alignment horizontal="left" vertical="top" wrapText="1" readingOrder="1"/>
      <protection locked="0"/>
    </xf>
    <xf numFmtId="0" fontId="7" fillId="0" borderId="11" xfId="0" applyFont="1" applyFill="1" applyBorder="1" applyAlignment="1" applyProtection="1">
      <alignment horizontal="left" vertical="top" wrapText="1" readingOrder="1"/>
      <protection locked="0"/>
    </xf>
    <xf numFmtId="0" fontId="7" fillId="0" borderId="2" xfId="0" applyFont="1" applyFill="1" applyBorder="1" applyAlignment="1" applyProtection="1">
      <alignment horizontal="left" vertical="top" wrapText="1" readingOrder="1"/>
      <protection locked="0"/>
    </xf>
    <xf numFmtId="0" fontId="4" fillId="0" borderId="25" xfId="0" applyFont="1" applyFill="1" applyBorder="1" applyAlignment="1" applyProtection="1">
      <alignment horizontal="left" vertical="top" wrapText="1" readingOrder="1"/>
      <protection locked="0"/>
    </xf>
    <xf numFmtId="0" fontId="4" fillId="0" borderId="67" xfId="0" applyFont="1" applyFill="1" applyBorder="1" applyAlignment="1" applyProtection="1">
      <alignment horizontal="left" vertical="top" wrapText="1" readingOrder="1"/>
      <protection locked="0"/>
    </xf>
    <xf numFmtId="0" fontId="6" fillId="0" borderId="171" xfId="0" applyNumberFormat="1" applyFont="1" applyFill="1" applyBorder="1" applyAlignment="1" applyProtection="1">
      <alignment horizontal="center" vertical="top" wrapText="1" shrinkToFit="1"/>
      <protection locked="0"/>
    </xf>
    <xf numFmtId="0" fontId="3" fillId="0" borderId="133" xfId="0" applyNumberFormat="1" applyFont="1" applyFill="1" applyBorder="1" applyAlignment="1" applyProtection="1">
      <alignment horizontal="center" vertical="top" wrapText="1" shrinkToFit="1"/>
      <protection locked="0"/>
    </xf>
    <xf numFmtId="0" fontId="6" fillId="0" borderId="117" xfId="0" applyNumberFormat="1" applyFont="1" applyFill="1" applyBorder="1" applyAlignment="1" applyProtection="1">
      <alignment horizontal="center" vertical="top" wrapText="1" shrinkToFit="1"/>
      <protection locked="0"/>
    </xf>
    <xf numFmtId="0" fontId="6" fillId="0" borderId="62" xfId="0" applyNumberFormat="1" applyFont="1" applyFill="1" applyBorder="1" applyAlignment="1" applyProtection="1">
      <alignment horizontal="center" vertical="top" wrapText="1" shrinkToFit="1"/>
      <protection locked="0"/>
    </xf>
    <xf numFmtId="0" fontId="3" fillId="0" borderId="161" xfId="0" applyNumberFormat="1" applyFont="1" applyFill="1" applyBorder="1" applyAlignment="1" applyProtection="1">
      <alignment horizontal="center" vertical="top" wrapText="1" shrinkToFit="1"/>
      <protection locked="0"/>
    </xf>
    <xf numFmtId="0" fontId="3" fillId="0" borderId="160" xfId="0" applyNumberFormat="1" applyFont="1" applyFill="1" applyBorder="1" applyAlignment="1" applyProtection="1">
      <alignment horizontal="center" vertical="top" wrapText="1" shrinkToFit="1"/>
      <protection locked="0"/>
    </xf>
    <xf numFmtId="0" fontId="3" fillId="0" borderId="54" xfId="0" applyNumberFormat="1" applyFont="1" applyFill="1" applyBorder="1" applyAlignment="1" applyProtection="1">
      <alignment horizontal="center" vertical="top" wrapText="1" shrinkToFit="1"/>
      <protection locked="0"/>
    </xf>
    <xf numFmtId="0" fontId="3" fillId="0" borderId="109" xfId="0" applyNumberFormat="1" applyFont="1" applyFill="1" applyBorder="1" applyAlignment="1" applyProtection="1">
      <alignment horizontal="center" vertical="top" wrapText="1" shrinkToFit="1"/>
      <protection locked="0"/>
    </xf>
    <xf numFmtId="0" fontId="3" fillId="0" borderId="139" xfId="0" applyNumberFormat="1" applyFont="1" applyFill="1" applyBorder="1" applyAlignment="1" applyProtection="1">
      <alignment horizontal="center" vertical="top" wrapText="1" shrinkToFit="1"/>
      <protection locked="0"/>
    </xf>
    <xf numFmtId="0" fontId="4" fillId="0" borderId="64" xfId="0" applyNumberFormat="1" applyFont="1" applyFill="1" applyBorder="1" applyAlignment="1" applyProtection="1">
      <alignment horizontal="left" vertical="top" wrapText="1" readingOrder="1"/>
      <protection locked="0"/>
    </xf>
    <xf numFmtId="0" fontId="7" fillId="0" borderId="89" xfId="0" applyFont="1" applyFill="1" applyBorder="1" applyAlignment="1" applyProtection="1">
      <alignment horizontal="left" vertical="top" wrapText="1" readingOrder="1"/>
      <protection locked="0"/>
    </xf>
    <xf numFmtId="0" fontId="7" fillId="0" borderId="86" xfId="0" applyFont="1" applyFill="1" applyBorder="1" applyAlignment="1" applyProtection="1">
      <alignment horizontal="left" vertical="top" wrapText="1" readingOrder="1"/>
      <protection locked="0"/>
    </xf>
    <xf numFmtId="0" fontId="3" fillId="0" borderId="85" xfId="0" applyNumberFormat="1" applyFont="1" applyFill="1" applyBorder="1" applyAlignment="1" applyProtection="1">
      <alignment horizontal="center" vertical="top" wrapText="1" shrinkToFit="1"/>
      <protection locked="0"/>
    </xf>
    <xf numFmtId="0" fontId="6" fillId="0" borderId="178" xfId="0" applyNumberFormat="1" applyFont="1" applyFill="1" applyBorder="1" applyAlignment="1" applyProtection="1">
      <alignment horizontal="center" vertical="top" wrapText="1"/>
    </xf>
    <xf numFmtId="0" fontId="4" fillId="0" borderId="201" xfId="0" applyFont="1" applyFill="1" applyBorder="1" applyAlignment="1" applyProtection="1">
      <alignment horizontal="center" vertical="top" wrapText="1" readingOrder="1"/>
      <protection locked="0"/>
    </xf>
    <xf numFmtId="0" fontId="4" fillId="0" borderId="117" xfId="0" applyFont="1" applyFill="1" applyBorder="1" applyAlignment="1" applyProtection="1">
      <alignment horizontal="center" vertical="top" wrapText="1" readingOrder="1"/>
      <protection locked="0"/>
    </xf>
    <xf numFmtId="0" fontId="4" fillId="0" borderId="59" xfId="0" applyFont="1" applyFill="1" applyBorder="1" applyAlignment="1" applyProtection="1">
      <alignment horizontal="left" vertical="top" wrapText="1" readingOrder="1"/>
      <protection locked="0"/>
    </xf>
    <xf numFmtId="0" fontId="4" fillId="0" borderId="55" xfId="0" applyFont="1" applyFill="1" applyBorder="1" applyAlignment="1" applyProtection="1">
      <alignment horizontal="left" vertical="top" wrapText="1" readingOrder="1"/>
      <protection locked="0"/>
    </xf>
    <xf numFmtId="0" fontId="4" fillId="0" borderId="91" xfId="0" applyFont="1" applyFill="1" applyBorder="1" applyAlignment="1">
      <alignment horizontal="center" vertical="top" wrapText="1"/>
    </xf>
    <xf numFmtId="0" fontId="4" fillId="0" borderId="54" xfId="0" applyFont="1" applyFill="1" applyBorder="1" applyAlignment="1">
      <alignment horizontal="center" vertical="top" wrapText="1"/>
    </xf>
    <xf numFmtId="0" fontId="4" fillId="0" borderId="11" xfId="0" applyFont="1" applyFill="1" applyBorder="1" applyAlignment="1" applyProtection="1">
      <alignment horizontal="left" vertical="top" wrapText="1" readingOrder="1"/>
      <protection locked="0"/>
    </xf>
    <xf numFmtId="0" fontId="4" fillId="0" borderId="2" xfId="0" applyFont="1" applyFill="1" applyBorder="1" applyAlignment="1" applyProtection="1">
      <alignment horizontal="left" vertical="top" wrapText="1" readingOrder="1"/>
      <protection locked="0"/>
    </xf>
    <xf numFmtId="0" fontId="4" fillId="0" borderId="223" xfId="0" applyFont="1" applyFill="1" applyBorder="1" applyAlignment="1" applyProtection="1">
      <alignment horizontal="left" vertical="top" wrapText="1" readingOrder="1"/>
      <protection locked="0"/>
    </xf>
    <xf numFmtId="0" fontId="4" fillId="0" borderId="7" xfId="0" applyFont="1" applyFill="1" applyBorder="1" applyAlignment="1" applyProtection="1">
      <alignment horizontal="left" vertical="top" wrapText="1" readingOrder="1"/>
      <protection locked="0"/>
    </xf>
    <xf numFmtId="0" fontId="4" fillId="0" borderId="20" xfId="0" applyFont="1" applyFill="1" applyBorder="1" applyAlignment="1" applyProtection="1">
      <alignment horizontal="center" vertical="top" wrapText="1" readingOrder="1"/>
      <protection locked="0"/>
    </xf>
    <xf numFmtId="0" fontId="4" fillId="0" borderId="27" xfId="0" applyFont="1" applyFill="1" applyBorder="1" applyAlignment="1" applyProtection="1">
      <alignment horizontal="center" vertical="top" wrapText="1" readingOrder="1"/>
      <protection locked="0"/>
    </xf>
    <xf numFmtId="0" fontId="4" fillId="0" borderId="117" xfId="0" applyFont="1" applyFill="1" applyBorder="1" applyAlignment="1" applyProtection="1">
      <alignment horizontal="left" vertical="top" wrapText="1" readingOrder="1"/>
      <protection locked="0"/>
    </xf>
    <xf numFmtId="0" fontId="13" fillId="0" borderId="158" xfId="0" applyFont="1" applyFill="1" applyBorder="1" applyAlignment="1" applyProtection="1">
      <alignment horizontal="left" vertical="top" wrapText="1" readingOrder="1"/>
      <protection locked="0"/>
    </xf>
    <xf numFmtId="0" fontId="13" fillId="0" borderId="62" xfId="0" applyFont="1" applyFill="1" applyBorder="1" applyAlignment="1" applyProtection="1">
      <alignment horizontal="left" vertical="top" wrapText="1" readingOrder="1"/>
      <protection locked="0"/>
    </xf>
    <xf numFmtId="14" fontId="7" fillId="0" borderId="134" xfId="0" applyNumberFormat="1" applyFont="1" applyFill="1" applyBorder="1" applyAlignment="1" applyProtection="1">
      <alignment horizontal="left" vertical="top" wrapText="1" readingOrder="1"/>
      <protection locked="0"/>
    </xf>
    <xf numFmtId="14" fontId="7" fillId="0" borderId="4" xfId="0" applyNumberFormat="1" applyFont="1" applyFill="1" applyBorder="1" applyAlignment="1" applyProtection="1">
      <alignment horizontal="left" vertical="top" wrapText="1" readingOrder="1"/>
      <protection locked="0"/>
    </xf>
    <xf numFmtId="0" fontId="7" fillId="0" borderId="133" xfId="0" applyFont="1" applyFill="1" applyBorder="1" applyAlignment="1" applyProtection="1">
      <alignment horizontal="left" vertical="top" wrapText="1" readingOrder="1"/>
      <protection locked="0"/>
    </xf>
    <xf numFmtId="49" fontId="4" fillId="0" borderId="28" xfId="0" applyNumberFormat="1" applyFont="1" applyFill="1" applyBorder="1" applyAlignment="1" applyProtection="1">
      <alignment horizontal="center" vertical="top" wrapText="1" readingOrder="1"/>
      <protection locked="0"/>
    </xf>
    <xf numFmtId="49" fontId="4" fillId="0" borderId="43" xfId="0" applyNumberFormat="1" applyFont="1" applyFill="1" applyBorder="1" applyAlignment="1" applyProtection="1">
      <alignment horizontal="center" vertical="top" wrapText="1" readingOrder="1"/>
      <protection locked="0"/>
    </xf>
    <xf numFmtId="0" fontId="4" fillId="0" borderId="66" xfId="0" applyFont="1" applyFill="1" applyBorder="1" applyAlignment="1" applyProtection="1">
      <alignment horizontal="left" vertical="top" wrapText="1" readingOrder="1"/>
      <protection locked="0"/>
    </xf>
    <xf numFmtId="0" fontId="3" fillId="0" borderId="151" xfId="0" applyNumberFormat="1" applyFont="1" applyFill="1" applyBorder="1" applyAlignment="1" applyProtection="1">
      <alignment horizontal="center" vertical="top" wrapText="1" shrinkToFit="1"/>
      <protection locked="0"/>
    </xf>
    <xf numFmtId="0" fontId="3" fillId="0" borderId="124" xfId="0" applyNumberFormat="1" applyFont="1" applyFill="1" applyBorder="1" applyAlignment="1" applyProtection="1">
      <alignment horizontal="center" vertical="top" wrapText="1" shrinkToFit="1"/>
      <protection locked="0"/>
    </xf>
    <xf numFmtId="0" fontId="3" fillId="0" borderId="76" xfId="0" applyNumberFormat="1" applyFont="1" applyFill="1" applyBorder="1" applyAlignment="1" applyProtection="1">
      <alignment horizontal="center" vertical="top" wrapText="1" shrinkToFit="1" readingOrder="1"/>
      <protection locked="0"/>
    </xf>
    <xf numFmtId="0" fontId="3" fillId="0" borderId="64" xfId="0" applyNumberFormat="1" applyFont="1" applyFill="1" applyBorder="1" applyAlignment="1" applyProtection="1">
      <alignment horizontal="center" vertical="top" wrapText="1" shrinkToFit="1" readingOrder="1"/>
      <protection locked="0"/>
    </xf>
    <xf numFmtId="0" fontId="6" fillId="0" borderId="11" xfId="0" applyNumberFormat="1" applyFont="1" applyFill="1" applyBorder="1" applyAlignment="1" applyProtection="1">
      <alignment horizontal="center" vertical="top" wrapText="1"/>
    </xf>
    <xf numFmtId="0" fontId="4" fillId="0" borderId="62" xfId="0" applyNumberFormat="1" applyFont="1" applyFill="1" applyBorder="1" applyAlignment="1" applyProtection="1">
      <alignment horizontal="center" vertical="top" wrapText="1" shrinkToFit="1"/>
      <protection locked="0"/>
    </xf>
    <xf numFmtId="0" fontId="6" fillId="0" borderId="68" xfId="0" applyNumberFormat="1" applyFont="1" applyFill="1" applyBorder="1" applyAlignment="1" applyProtection="1">
      <alignment horizontal="center" vertical="top" wrapText="1"/>
    </xf>
    <xf numFmtId="0" fontId="6" fillId="0" borderId="60" xfId="0" applyNumberFormat="1" applyFont="1" applyFill="1" applyBorder="1" applyAlignment="1" applyProtection="1">
      <alignment horizontal="center" vertical="top" wrapText="1"/>
    </xf>
    <xf numFmtId="0" fontId="4" fillId="0" borderId="68" xfId="0" applyFont="1" applyFill="1" applyBorder="1" applyAlignment="1" applyProtection="1">
      <alignment horizontal="center" vertical="top" wrapText="1" readingOrder="1"/>
      <protection locked="0"/>
    </xf>
    <xf numFmtId="0" fontId="4" fillId="0" borderId="60" xfId="0" applyFont="1" applyFill="1" applyBorder="1" applyAlignment="1" applyProtection="1">
      <alignment horizontal="center" vertical="top" wrapText="1" readingOrder="1"/>
      <protection locked="0"/>
    </xf>
    <xf numFmtId="0" fontId="4" fillId="0" borderId="64" xfId="0" applyNumberFormat="1" applyFont="1" applyFill="1" applyBorder="1" applyAlignment="1" applyProtection="1">
      <alignment horizontal="center" vertical="center" wrapText="1" shrinkToFit="1"/>
      <protection locked="0"/>
    </xf>
    <xf numFmtId="0" fontId="4" fillId="0" borderId="171" xfId="0" applyNumberFormat="1" applyFont="1" applyFill="1" applyBorder="1" applyAlignment="1" applyProtection="1">
      <alignment horizontal="center" vertical="center" wrapText="1" shrinkToFit="1"/>
      <protection locked="0"/>
    </xf>
    <xf numFmtId="0" fontId="3" fillId="0" borderId="171" xfId="0" applyNumberFormat="1" applyFont="1" applyFill="1" applyBorder="1" applyAlignment="1" applyProtection="1">
      <alignment horizontal="center" vertical="top" wrapText="1" shrinkToFit="1"/>
      <protection locked="0"/>
    </xf>
    <xf numFmtId="0" fontId="12" fillId="0" borderId="0" xfId="0" applyFont="1" applyFill="1" applyAlignment="1" applyProtection="1">
      <alignment horizontal="center" vertical="top" wrapText="1" readingOrder="1"/>
      <protection locked="0"/>
    </xf>
    <xf numFmtId="0" fontId="4" fillId="0" borderId="3" xfId="0" applyFont="1" applyFill="1" applyBorder="1" applyAlignment="1" applyProtection="1">
      <alignment horizontal="center" vertical="top" wrapText="1" readingOrder="1"/>
      <protection locked="0"/>
    </xf>
    <xf numFmtId="0" fontId="4" fillId="0" borderId="42" xfId="0" applyFont="1" applyFill="1" applyBorder="1" applyAlignment="1" applyProtection="1">
      <alignment vertical="top" wrapText="1"/>
      <protection locked="0"/>
    </xf>
    <xf numFmtId="0" fontId="4" fillId="0" borderId="37" xfId="0" applyFont="1" applyFill="1" applyBorder="1" applyAlignment="1" applyProtection="1">
      <alignment vertical="top" wrapText="1"/>
      <protection locked="0"/>
    </xf>
    <xf numFmtId="0" fontId="4" fillId="0" borderId="11" xfId="0" applyFont="1" applyFill="1" applyBorder="1" applyAlignment="1" applyProtection="1">
      <alignment horizontal="center" vertical="center" wrapText="1" readingOrder="1"/>
      <protection locked="0"/>
    </xf>
    <xf numFmtId="0" fontId="4" fillId="0" borderId="2" xfId="0" applyFont="1" applyFill="1" applyBorder="1" applyAlignment="1" applyProtection="1">
      <alignment horizontal="center" vertical="center" wrapText="1" readingOrder="1"/>
      <protection locked="0"/>
    </xf>
    <xf numFmtId="0" fontId="4" fillId="0" borderId="7" xfId="0" applyFont="1" applyFill="1" applyBorder="1" applyAlignment="1" applyProtection="1">
      <alignment horizontal="center" vertical="center" wrapText="1" readingOrder="1"/>
      <protection locked="0"/>
    </xf>
    <xf numFmtId="0" fontId="4" fillId="0" borderId="20" xfId="0" applyFont="1" applyFill="1" applyBorder="1" applyAlignment="1" applyProtection="1">
      <alignment horizontal="center" vertical="center" wrapText="1" readingOrder="1"/>
      <protection locked="0"/>
    </xf>
    <xf numFmtId="0" fontId="4" fillId="0" borderId="13" xfId="0" applyFont="1" applyFill="1" applyBorder="1" applyAlignment="1" applyProtection="1">
      <alignment horizontal="center" vertical="center" wrapText="1" readingOrder="1"/>
      <protection locked="0"/>
    </xf>
    <xf numFmtId="0" fontId="4" fillId="0" borderId="27" xfId="0" applyFont="1" applyFill="1" applyBorder="1" applyAlignment="1" applyProtection="1">
      <alignment horizontal="center" vertical="center" wrapText="1" readingOrder="1"/>
      <protection locked="0"/>
    </xf>
    <xf numFmtId="0" fontId="4" fillId="0" borderId="41" xfId="0" applyFont="1" applyFill="1" applyBorder="1" applyAlignment="1" applyProtection="1">
      <alignment horizontal="center" vertical="center" wrapText="1" readingOrder="1"/>
      <protection locked="0"/>
    </xf>
    <xf numFmtId="0" fontId="7" fillId="0" borderId="20" xfId="0" applyFont="1" applyFill="1" applyBorder="1" applyAlignment="1" applyProtection="1">
      <alignment horizontal="left" vertical="top" wrapText="1" readingOrder="1"/>
      <protection locked="0"/>
    </xf>
    <xf numFmtId="0" fontId="7" fillId="0" borderId="16" xfId="0" applyFont="1" applyFill="1" applyBorder="1" applyAlignment="1" applyProtection="1">
      <alignment horizontal="left" vertical="top" wrapText="1" readingOrder="1"/>
      <protection locked="0"/>
    </xf>
    <xf numFmtId="49" fontId="7" fillId="0" borderId="5" xfId="0" applyNumberFormat="1" applyFont="1" applyFill="1" applyBorder="1" applyAlignment="1" applyProtection="1">
      <alignment horizontal="center" vertical="top" wrapText="1" readingOrder="1"/>
      <protection locked="0"/>
    </xf>
    <xf numFmtId="14" fontId="4" fillId="0" borderId="12" xfId="0" applyNumberFormat="1" applyFont="1" applyFill="1" applyBorder="1" applyAlignment="1" applyProtection="1">
      <alignment horizontal="center" vertical="top" wrapText="1" readingOrder="1"/>
      <protection locked="0"/>
    </xf>
    <xf numFmtId="0" fontId="4" fillId="0" borderId="10" xfId="0" applyFont="1" applyFill="1" applyBorder="1" applyAlignment="1" applyProtection="1">
      <alignment horizontal="center" vertical="top" wrapText="1" readingOrder="1"/>
      <protection locked="0"/>
    </xf>
    <xf numFmtId="0" fontId="4" fillId="0" borderId="175" xfId="0" applyFont="1" applyFill="1" applyBorder="1" applyAlignment="1" applyProtection="1">
      <alignment horizontal="center" vertical="top" wrapText="1" readingOrder="1"/>
      <protection locked="0"/>
    </xf>
    <xf numFmtId="0" fontId="3" fillId="0" borderId="10" xfId="0" applyNumberFormat="1" applyFont="1" applyFill="1" applyBorder="1" applyAlignment="1" applyProtection="1">
      <alignment horizontal="center" vertical="top" wrapText="1" shrinkToFit="1"/>
      <protection locked="0"/>
    </xf>
    <xf numFmtId="0" fontId="3" fillId="0" borderId="30" xfId="0" applyNumberFormat="1" applyFont="1" applyFill="1" applyBorder="1" applyAlignment="1" applyProtection="1">
      <alignment horizontal="center" vertical="top" wrapText="1" shrinkToFit="1"/>
      <protection locked="0"/>
    </xf>
    <xf numFmtId="0" fontId="4" fillId="0" borderId="5" xfId="0" applyNumberFormat="1" applyFont="1" applyFill="1" applyBorder="1" applyAlignment="1" applyProtection="1">
      <alignment horizontal="center" vertical="top" wrapText="1" shrinkToFit="1"/>
      <protection locked="0"/>
    </xf>
    <xf numFmtId="0" fontId="4" fillId="0" borderId="213" xfId="0" applyNumberFormat="1" applyFont="1" applyFill="1" applyBorder="1" applyAlignment="1" applyProtection="1">
      <alignment horizontal="center" vertical="top" wrapText="1" shrinkToFit="1"/>
      <protection locked="0"/>
    </xf>
    <xf numFmtId="166" fontId="4" fillId="0" borderId="91" xfId="0" applyNumberFormat="1" applyFont="1" applyFill="1" applyBorder="1" applyAlignment="1" applyProtection="1">
      <alignment horizontal="right" vertical="top" wrapText="1" readingOrder="1"/>
      <protection locked="0"/>
    </xf>
    <xf numFmtId="166" fontId="4" fillId="0" borderId="54" xfId="0" applyNumberFormat="1" applyFont="1" applyFill="1" applyBorder="1" applyAlignment="1" applyProtection="1">
      <alignment horizontal="right" vertical="top" wrapText="1" readingOrder="1"/>
      <protection locked="0"/>
    </xf>
    <xf numFmtId="166" fontId="4" fillId="0" borderId="178" xfId="0" applyNumberFormat="1" applyFont="1" applyFill="1" applyBorder="1" applyAlignment="1" applyProtection="1">
      <alignment horizontal="right" vertical="top" wrapText="1" readingOrder="1"/>
      <protection locked="0"/>
    </xf>
    <xf numFmtId="166" fontId="4" fillId="0" borderId="74" xfId="0" applyNumberFormat="1" applyFont="1" applyFill="1" applyBorder="1" applyAlignment="1" applyProtection="1">
      <alignment horizontal="right" vertical="top" wrapText="1" readingOrder="1"/>
      <protection locked="0"/>
    </xf>
    <xf numFmtId="164" fontId="4" fillId="0" borderId="6" xfId="0" applyNumberFormat="1" applyFont="1" applyFill="1" applyBorder="1" applyAlignment="1" applyProtection="1">
      <alignment horizontal="right" vertical="top" wrapText="1" readingOrder="1"/>
      <protection locked="0"/>
    </xf>
    <xf numFmtId="164" fontId="4" fillId="0" borderId="178" xfId="0" applyNumberFormat="1" applyFont="1" applyFill="1" applyBorder="1" applyAlignment="1" applyProtection="1">
      <alignment horizontal="right" vertical="top" wrapText="1" readingOrder="1"/>
      <protection locked="0"/>
    </xf>
    <xf numFmtId="164" fontId="4" fillId="0" borderId="91" xfId="0" applyNumberFormat="1" applyFont="1" applyFill="1" applyBorder="1" applyAlignment="1" applyProtection="1">
      <alignment horizontal="right" vertical="top" wrapText="1" readingOrder="1"/>
      <protection locked="0"/>
    </xf>
    <xf numFmtId="164" fontId="4" fillId="0" borderId="74" xfId="0" applyNumberFormat="1" applyFont="1" applyFill="1" applyBorder="1" applyAlignment="1" applyProtection="1">
      <alignment horizontal="right" vertical="top" wrapText="1" readingOrder="1"/>
      <protection locked="0"/>
    </xf>
    <xf numFmtId="0" fontId="4" fillId="0" borderId="4" xfId="0" applyNumberFormat="1" applyFont="1" applyFill="1" applyBorder="1" applyAlignment="1" applyProtection="1">
      <alignment horizontal="center" vertical="top" wrapText="1" shrinkToFit="1"/>
      <protection locked="0"/>
    </xf>
    <xf numFmtId="0" fontId="4" fillId="0" borderId="97" xfId="0" applyFont="1" applyFill="1" applyBorder="1" applyAlignment="1" applyProtection="1">
      <alignment horizontal="center" vertical="top" wrapText="1" readingOrder="1"/>
      <protection locked="0"/>
    </xf>
    <xf numFmtId="0" fontId="4" fillId="0" borderId="138" xfId="0" applyFont="1" applyFill="1" applyBorder="1" applyAlignment="1" applyProtection="1">
      <alignment horizontal="center" vertical="top" wrapText="1" readingOrder="1"/>
      <protection locked="0"/>
    </xf>
    <xf numFmtId="0" fontId="4" fillId="0" borderId="93" xfId="0" applyFont="1" applyFill="1" applyBorder="1" applyAlignment="1" applyProtection="1">
      <alignment horizontal="center" vertical="top" wrapText="1" readingOrder="1"/>
      <protection locked="0"/>
    </xf>
    <xf numFmtId="0" fontId="4" fillId="0" borderId="122" xfId="0" applyFont="1" applyFill="1" applyBorder="1" applyAlignment="1" applyProtection="1">
      <alignment horizontal="center" vertical="center" wrapText="1" readingOrder="1"/>
      <protection locked="0"/>
    </xf>
    <xf numFmtId="0" fontId="4" fillId="0" borderId="139" xfId="0" applyFont="1" applyFill="1" applyBorder="1" applyAlignment="1" applyProtection="1">
      <alignment horizontal="center" vertical="center" wrapText="1" readingOrder="1"/>
      <protection locked="0"/>
    </xf>
    <xf numFmtId="0" fontId="4" fillId="0" borderId="148" xfId="0" applyFont="1" applyFill="1" applyBorder="1" applyAlignment="1" applyProtection="1">
      <alignment horizontal="center" vertical="center" wrapText="1" readingOrder="1"/>
      <protection locked="0"/>
    </xf>
    <xf numFmtId="0" fontId="4" fillId="0" borderId="149" xfId="0" applyFont="1" applyFill="1" applyBorder="1" applyAlignment="1" applyProtection="1">
      <alignment horizontal="center" vertical="center" wrapText="1" readingOrder="1"/>
      <protection locked="0"/>
    </xf>
    <xf numFmtId="14" fontId="4" fillId="0" borderId="5" xfId="0" applyNumberFormat="1" applyFont="1" applyFill="1" applyBorder="1" applyAlignment="1" applyProtection="1">
      <alignment horizontal="center" vertical="top" wrapText="1" shrinkToFit="1"/>
      <protection locked="0"/>
    </xf>
    <xf numFmtId="14" fontId="4" fillId="0" borderId="213" xfId="0" applyNumberFormat="1" applyFont="1" applyFill="1" applyBorder="1" applyAlignment="1" applyProtection="1">
      <alignment horizontal="center" vertical="top" wrapText="1" shrinkToFit="1"/>
      <protection locked="0"/>
    </xf>
    <xf numFmtId="14" fontId="4" fillId="0" borderId="62" xfId="0" applyNumberFormat="1" applyFont="1" applyFill="1" applyBorder="1" applyAlignment="1" applyProtection="1">
      <alignment horizontal="center" vertical="top" wrapText="1" shrinkToFit="1"/>
      <protection locked="0"/>
    </xf>
    <xf numFmtId="14" fontId="4" fillId="0" borderId="117" xfId="0" applyNumberFormat="1" applyFont="1" applyFill="1" applyBorder="1" applyAlignment="1" applyProtection="1">
      <alignment horizontal="center" vertical="top" wrapText="1" shrinkToFit="1"/>
      <protection locked="0"/>
    </xf>
    <xf numFmtId="0" fontId="4" fillId="0" borderId="117" xfId="0" applyNumberFormat="1" applyFont="1" applyFill="1" applyBorder="1" applyAlignment="1" applyProtection="1">
      <alignment horizontal="center" vertical="top" wrapText="1" shrinkToFit="1"/>
      <protection locked="0"/>
    </xf>
    <xf numFmtId="0" fontId="4" fillId="0" borderId="151" xfId="0" applyFont="1" applyFill="1" applyBorder="1" applyAlignment="1" applyProtection="1">
      <alignment horizontal="center" vertical="top" wrapText="1" readingOrder="1"/>
      <protection locked="0"/>
    </xf>
    <xf numFmtId="14" fontId="4" fillId="0" borderId="171" xfId="0" applyNumberFormat="1" applyFont="1" applyFill="1" applyBorder="1" applyAlignment="1" applyProtection="1">
      <alignment horizontal="center" vertical="top" wrapText="1" shrinkToFit="1"/>
      <protection locked="0"/>
    </xf>
    <xf numFmtId="0" fontId="4" fillId="0" borderId="223" xfId="0" applyNumberFormat="1" applyFont="1" applyFill="1" applyBorder="1" applyAlignment="1" applyProtection="1">
      <alignment horizontal="center" vertical="top" wrapText="1" shrinkToFit="1"/>
      <protection locked="0"/>
    </xf>
    <xf numFmtId="0" fontId="4" fillId="0" borderId="63" xfId="0" applyFont="1" applyFill="1" applyBorder="1" applyAlignment="1" applyProtection="1">
      <alignment horizontal="center" vertical="center" wrapText="1" readingOrder="1"/>
      <protection locked="0"/>
    </xf>
    <xf numFmtId="0" fontId="4" fillId="0" borderId="4" xfId="0" applyFont="1" applyFill="1" applyBorder="1" applyAlignment="1" applyProtection="1">
      <alignment horizontal="center" vertical="center" wrapText="1" readingOrder="1"/>
      <protection locked="0"/>
    </xf>
    <xf numFmtId="0" fontId="3" fillId="0" borderId="16" xfId="0" applyNumberFormat="1" applyFont="1" applyFill="1" applyBorder="1" applyAlignment="1" applyProtection="1">
      <alignment horizontal="center" vertical="top" wrapText="1" shrinkToFit="1"/>
      <protection locked="0"/>
    </xf>
    <xf numFmtId="0" fontId="4" fillId="0" borderId="17" xfId="0" applyNumberFormat="1" applyFont="1" applyFill="1" applyBorder="1" applyAlignment="1" applyProtection="1">
      <alignment horizontal="center" vertical="top" wrapText="1" shrinkToFit="1"/>
      <protection locked="0"/>
    </xf>
    <xf numFmtId="0" fontId="4" fillId="0" borderId="120" xfId="0" applyNumberFormat="1" applyFont="1" applyFill="1" applyBorder="1" applyAlignment="1" applyProtection="1">
      <alignment horizontal="center" vertical="top" wrapText="1" shrinkToFit="1" readingOrder="1"/>
      <protection locked="0"/>
    </xf>
    <xf numFmtId="0" fontId="4" fillId="0" borderId="64" xfId="0" applyNumberFormat="1" applyFont="1" applyFill="1" applyBorder="1" applyAlignment="1" applyProtection="1">
      <alignment horizontal="center" vertical="top" wrapText="1" shrinkToFit="1" readingOrder="1"/>
      <protection locked="0"/>
    </xf>
    <xf numFmtId="0" fontId="6" fillId="0" borderId="151" xfId="0" applyNumberFormat="1" applyFont="1" applyFill="1" applyBorder="1" applyAlignment="1" applyProtection="1">
      <alignment horizontal="center" vertical="top" wrapText="1" shrinkToFit="1"/>
      <protection locked="0"/>
    </xf>
    <xf numFmtId="0" fontId="6" fillId="0" borderId="64" xfId="0" applyNumberFormat="1" applyFont="1" applyFill="1" applyBorder="1" applyAlignment="1" applyProtection="1">
      <alignment horizontal="center" vertical="top" wrapText="1" shrinkToFit="1"/>
      <protection locked="0"/>
    </xf>
    <xf numFmtId="0" fontId="4" fillId="0" borderId="210" xfId="0" applyFont="1" applyFill="1" applyBorder="1" applyAlignment="1" applyProtection="1">
      <alignment horizontal="center" vertical="top" wrapText="1" readingOrder="1"/>
      <protection locked="0"/>
    </xf>
    <xf numFmtId="0" fontId="4" fillId="0" borderId="210" xfId="0" applyNumberFormat="1" applyFont="1" applyFill="1" applyBorder="1" applyAlignment="1" applyProtection="1">
      <alignment horizontal="center" vertical="top" wrapText="1" shrinkToFit="1"/>
      <protection locked="0"/>
    </xf>
    <xf numFmtId="0" fontId="4" fillId="0" borderId="198" xfId="0" applyFont="1" applyFill="1" applyBorder="1" applyAlignment="1" applyProtection="1">
      <alignment horizontal="left" vertical="top" wrapText="1" readingOrder="1"/>
      <protection locked="0"/>
    </xf>
    <xf numFmtId="14" fontId="4" fillId="0" borderId="202" xfId="0" applyNumberFormat="1" applyFont="1" applyFill="1" applyBorder="1" applyAlignment="1" applyProtection="1">
      <alignment horizontal="center" vertical="top" wrapText="1" shrinkToFit="1"/>
      <protection locked="0"/>
    </xf>
    <xf numFmtId="0" fontId="4" fillId="0" borderId="202" xfId="0" applyNumberFormat="1" applyFont="1" applyFill="1" applyBorder="1" applyAlignment="1" applyProtection="1">
      <alignment horizontal="center" vertical="top" wrapText="1" shrinkToFit="1"/>
      <protection locked="0"/>
    </xf>
    <xf numFmtId="0" fontId="4" fillId="0" borderId="202" xfId="0" applyFont="1" applyFill="1" applyBorder="1" applyAlignment="1" applyProtection="1">
      <alignment horizontal="center" vertical="top" wrapText="1" readingOrder="1"/>
      <protection locked="0"/>
    </xf>
    <xf numFmtId="0" fontId="7" fillId="0" borderId="5" xfId="0" applyFont="1" applyFill="1" applyBorder="1" applyAlignment="1" applyProtection="1">
      <alignment horizontal="left" vertical="top" wrapText="1" readingOrder="1"/>
      <protection locked="0"/>
    </xf>
    <xf numFmtId="0" fontId="7" fillId="0" borderId="78" xfId="0" applyFont="1" applyFill="1" applyBorder="1" applyAlignment="1" applyProtection="1">
      <alignment horizontal="center" vertical="top" wrapText="1" readingOrder="1"/>
      <protection locked="0"/>
    </xf>
    <xf numFmtId="0" fontId="7" fillId="0" borderId="62" xfId="0" applyFont="1" applyFill="1" applyBorder="1" applyAlignment="1" applyProtection="1">
      <alignment horizontal="center" vertical="top" wrapText="1" readingOrder="1"/>
      <protection locked="0"/>
    </xf>
    <xf numFmtId="0" fontId="4" fillId="0" borderId="68" xfId="0" applyFont="1" applyFill="1" applyBorder="1" applyAlignment="1" applyProtection="1">
      <alignment horizontal="left" vertical="top" wrapText="1" readingOrder="1"/>
      <protection locked="0"/>
    </xf>
    <xf numFmtId="0" fontId="4" fillId="0" borderId="210" xfId="0" applyFont="1" applyFill="1" applyBorder="1" applyAlignment="1" applyProtection="1">
      <alignment horizontal="left" vertical="top" wrapText="1" readingOrder="1"/>
      <protection locked="0"/>
    </xf>
    <xf numFmtId="0" fontId="4" fillId="0" borderId="210" xfId="0" applyNumberFormat="1" applyFont="1" applyFill="1" applyBorder="1" applyAlignment="1" applyProtection="1">
      <alignment horizontal="center" vertical="center" wrapText="1" shrinkToFit="1"/>
      <protection locked="0"/>
    </xf>
    <xf numFmtId="0" fontId="4" fillId="0" borderId="140" xfId="0" applyNumberFormat="1" applyFont="1" applyFill="1" applyBorder="1" applyAlignment="1" applyProtection="1">
      <alignment horizontal="center" vertical="top" wrapText="1" shrinkToFit="1"/>
      <protection locked="0"/>
    </xf>
    <xf numFmtId="0" fontId="6" fillId="0" borderId="11" xfId="0" applyNumberFormat="1" applyFont="1" applyFill="1" applyBorder="1" applyAlignment="1" applyProtection="1">
      <alignment horizontal="center" vertical="top" wrapText="1" shrinkToFit="1"/>
      <protection locked="0"/>
    </xf>
    <xf numFmtId="0" fontId="6" fillId="0" borderId="2" xfId="0" applyNumberFormat="1" applyFont="1" applyFill="1" applyBorder="1" applyAlignment="1" applyProtection="1">
      <alignment horizontal="center" vertical="top" wrapText="1" shrinkToFit="1"/>
      <protection locked="0"/>
    </xf>
    <xf numFmtId="0" fontId="6" fillId="0" borderId="7" xfId="0" applyNumberFormat="1" applyFont="1" applyFill="1" applyBorder="1" applyAlignment="1" applyProtection="1">
      <alignment horizontal="center" vertical="top" wrapText="1" shrinkToFit="1"/>
      <protection locked="0"/>
    </xf>
    <xf numFmtId="14" fontId="3" fillId="0" borderId="161" xfId="0" applyNumberFormat="1" applyFont="1" applyFill="1" applyBorder="1" applyAlignment="1" applyProtection="1">
      <alignment horizontal="center" vertical="top" wrapText="1" shrinkToFit="1"/>
      <protection locked="0"/>
    </xf>
    <xf numFmtId="14" fontId="3" fillId="0" borderId="160" xfId="0" applyNumberFormat="1" applyFont="1" applyFill="1" applyBorder="1" applyAlignment="1" applyProtection="1">
      <alignment horizontal="center" vertical="top" wrapText="1" shrinkToFit="1"/>
      <protection locked="0"/>
    </xf>
    <xf numFmtId="14" fontId="3" fillId="0" borderId="54" xfId="0" applyNumberFormat="1" applyFont="1" applyFill="1" applyBorder="1" applyAlignment="1" applyProtection="1">
      <alignment horizontal="center" vertical="top" wrapText="1" shrinkToFit="1"/>
      <protection locked="0"/>
    </xf>
    <xf numFmtId="0" fontId="3" fillId="0" borderId="201" xfId="0" applyNumberFormat="1" applyFont="1" applyFill="1" applyBorder="1" applyAlignment="1" applyProtection="1">
      <alignment horizontal="center" vertical="top" wrapText="1" shrinkToFit="1"/>
      <protection locked="0"/>
    </xf>
    <xf numFmtId="14" fontId="3" fillId="0" borderId="156" xfId="0" applyNumberFormat="1" applyFont="1" applyFill="1" applyBorder="1" applyAlignment="1" applyProtection="1">
      <alignment horizontal="center" vertical="top" wrapText="1" shrinkToFit="1"/>
      <protection locked="0"/>
    </xf>
    <xf numFmtId="14" fontId="3" fillId="0" borderId="109" xfId="0" applyNumberFormat="1" applyFont="1" applyFill="1" applyBorder="1" applyAlignment="1" applyProtection="1">
      <alignment horizontal="center" vertical="top" wrapText="1" shrinkToFit="1"/>
      <protection locked="0"/>
    </xf>
    <xf numFmtId="14" fontId="3" fillId="0" borderId="62" xfId="0" applyNumberFormat="1" applyFont="1" applyFill="1" applyBorder="1" applyAlignment="1" applyProtection="1">
      <alignment horizontal="center" vertical="top" wrapText="1" shrinkToFit="1"/>
      <protection locked="0"/>
    </xf>
    <xf numFmtId="14" fontId="3" fillId="0" borderId="139" xfId="0" applyNumberFormat="1" applyFont="1" applyFill="1" applyBorder="1" applyAlignment="1" applyProtection="1">
      <alignment horizontal="center" vertical="top" wrapText="1" shrinkToFit="1"/>
      <protection locked="0"/>
    </xf>
    <xf numFmtId="14" fontId="4" fillId="0" borderId="201" xfId="0" applyNumberFormat="1" applyFont="1" applyFill="1" applyBorder="1" applyAlignment="1" applyProtection="1">
      <alignment horizontal="center" vertical="top" wrapText="1" shrinkToFit="1"/>
      <protection locked="0"/>
    </xf>
    <xf numFmtId="0" fontId="4" fillId="0" borderId="201" xfId="0" applyNumberFormat="1" applyFont="1" applyFill="1" applyBorder="1" applyAlignment="1" applyProtection="1">
      <alignment horizontal="center" vertical="top" wrapText="1" shrinkToFit="1"/>
      <protection locked="0"/>
    </xf>
    <xf numFmtId="0" fontId="4" fillId="0" borderId="11" xfId="0" applyNumberFormat="1" applyFont="1" applyFill="1" applyBorder="1" applyAlignment="1" applyProtection="1">
      <alignment horizontal="center" vertical="center" wrapText="1" shrinkToFit="1"/>
      <protection locked="0"/>
    </xf>
    <xf numFmtId="0" fontId="4" fillId="0" borderId="7" xfId="0" applyNumberFormat="1" applyFont="1" applyFill="1" applyBorder="1" applyAlignment="1" applyProtection="1">
      <alignment horizontal="center" vertical="center" wrapText="1" shrinkToFit="1"/>
      <protection locked="0"/>
    </xf>
    <xf numFmtId="0" fontId="6" fillId="0" borderId="1" xfId="0" applyNumberFormat="1" applyFont="1" applyFill="1" applyBorder="1" applyAlignment="1" applyProtection="1">
      <alignment horizontal="center" vertical="top" wrapText="1"/>
    </xf>
    <xf numFmtId="0" fontId="6" fillId="0" borderId="204" xfId="0" applyNumberFormat="1" applyFont="1" applyFill="1" applyBorder="1" applyAlignment="1" applyProtection="1">
      <alignment horizontal="center" vertical="top" wrapText="1"/>
    </xf>
    <xf numFmtId="14" fontId="3" fillId="0" borderId="196" xfId="0" applyNumberFormat="1" applyFont="1" applyFill="1" applyBorder="1" applyAlignment="1" applyProtection="1">
      <alignment horizontal="center" vertical="top" wrapText="1" shrinkToFit="1" readingOrder="1"/>
      <protection locked="0"/>
    </xf>
    <xf numFmtId="14" fontId="3" fillId="0" borderId="210" xfId="0" applyNumberFormat="1" applyFont="1" applyFill="1" applyBorder="1" applyAlignment="1" applyProtection="1">
      <alignment horizontal="center" vertical="top" wrapText="1" shrinkToFit="1" readingOrder="1"/>
      <protection locked="0"/>
    </xf>
    <xf numFmtId="0" fontId="4" fillId="0" borderId="196" xfId="0" applyFont="1" applyFill="1" applyBorder="1" applyAlignment="1" applyProtection="1">
      <alignment horizontal="center" vertical="top" wrapText="1" readingOrder="1"/>
      <protection locked="0"/>
    </xf>
    <xf numFmtId="0" fontId="4" fillId="0" borderId="171" xfId="0" applyFont="1" applyFill="1" applyBorder="1" applyAlignment="1" applyProtection="1">
      <alignment horizontal="center" vertical="top" wrapText="1" readingOrder="1"/>
      <protection locked="0"/>
    </xf>
    <xf numFmtId="14" fontId="3" fillId="0" borderId="171" xfId="0" applyNumberFormat="1" applyFont="1" applyFill="1" applyBorder="1" applyAlignment="1" applyProtection="1">
      <alignment horizontal="center" vertical="top" wrapText="1" shrinkToFit="1"/>
      <protection locked="0"/>
    </xf>
    <xf numFmtId="0" fontId="3" fillId="0" borderId="186" xfId="0" applyNumberFormat="1" applyFont="1" applyFill="1" applyBorder="1" applyAlignment="1" applyProtection="1">
      <alignment horizontal="center" vertical="top" wrapText="1" shrinkToFit="1"/>
      <protection locked="0"/>
    </xf>
    <xf numFmtId="0" fontId="4" fillId="0" borderId="67" xfId="0" applyFont="1" applyFill="1" applyBorder="1" applyAlignment="1" applyProtection="1">
      <alignment horizontal="center" vertical="top" wrapText="1" readingOrder="1"/>
      <protection locked="0"/>
    </xf>
    <xf numFmtId="0" fontId="6" fillId="0" borderId="210" xfId="0" applyNumberFormat="1" applyFont="1" applyFill="1" applyBorder="1" applyAlignment="1" applyProtection="1">
      <alignment horizontal="center" vertical="top" wrapText="1" shrinkToFit="1"/>
      <protection locked="0"/>
    </xf>
    <xf numFmtId="0" fontId="6" fillId="0" borderId="212" xfId="0" applyNumberFormat="1" applyFont="1" applyFill="1" applyBorder="1" applyAlignment="1" applyProtection="1">
      <alignment horizontal="center" vertical="top" wrapText="1" shrinkToFit="1"/>
      <protection locked="0"/>
    </xf>
    <xf numFmtId="0" fontId="4" fillId="0" borderId="153" xfId="0" applyFont="1" applyFill="1" applyBorder="1" applyAlignment="1" applyProtection="1">
      <alignment horizontal="center" vertical="top" wrapText="1" readingOrder="1"/>
      <protection locked="0"/>
    </xf>
    <xf numFmtId="0" fontId="4" fillId="0" borderId="34" xfId="0" applyFont="1" applyFill="1" applyBorder="1" applyAlignment="1" applyProtection="1">
      <alignment horizontal="center" vertical="top" wrapText="1" readingOrder="1"/>
      <protection locked="0"/>
    </xf>
    <xf numFmtId="0" fontId="4" fillId="0" borderId="153" xfId="0" applyNumberFormat="1" applyFont="1" applyFill="1" applyBorder="1" applyAlignment="1" applyProtection="1">
      <alignment horizontal="center" vertical="top" wrapText="1" shrinkToFit="1"/>
      <protection locked="0"/>
    </xf>
    <xf numFmtId="49" fontId="11" fillId="0" borderId="182" xfId="2" applyNumberFormat="1" applyFont="1" applyFill="1" applyBorder="1" applyAlignment="1">
      <alignment horizontal="center" vertical="center"/>
    </xf>
    <xf numFmtId="49" fontId="11" fillId="0" borderId="193" xfId="2" applyNumberFormat="1" applyFont="1" applyFill="1" applyBorder="1" applyAlignment="1">
      <alignment horizontal="center" vertical="center"/>
    </xf>
    <xf numFmtId="49" fontId="11" fillId="0" borderId="187" xfId="2" applyNumberFormat="1" applyFont="1" applyFill="1" applyBorder="1" applyAlignment="1">
      <alignment horizontal="center" vertical="center"/>
    </xf>
    <xf numFmtId="49" fontId="11" fillId="0" borderId="194" xfId="2" applyNumberFormat="1" applyFont="1" applyFill="1" applyBorder="1" applyAlignment="1">
      <alignment horizontal="center" vertical="center"/>
    </xf>
    <xf numFmtId="49" fontId="4" fillId="0" borderId="223" xfId="0" applyNumberFormat="1" applyFont="1" applyFill="1" applyBorder="1" applyAlignment="1" applyProtection="1">
      <alignment horizontal="center" vertical="top" wrapText="1" readingOrder="1"/>
      <protection locked="0"/>
    </xf>
    <xf numFmtId="14" fontId="4" fillId="0" borderId="223" xfId="0" applyNumberFormat="1" applyFont="1" applyFill="1" applyBorder="1" applyAlignment="1" applyProtection="1">
      <alignment horizontal="center" vertical="top" wrapText="1" shrinkToFit="1"/>
      <protection locked="0"/>
    </xf>
  </cellXfs>
  <cellStyles count="3">
    <cellStyle name="Обычный" xfId="0" builtinId="0"/>
    <cellStyle name="Обычный 2" xfId="2"/>
    <cellStyle name="Обычный_TMP_1"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0000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R675"/>
  <sheetViews>
    <sheetView showGridLines="0" tabSelected="1" topLeftCell="A159" zoomScaleNormal="100" zoomScaleSheetLayoutView="80" workbookViewId="0">
      <selection activeCell="L108" sqref="L108:M108"/>
    </sheetView>
  </sheetViews>
  <sheetFormatPr defaultRowHeight="18.75"/>
  <cols>
    <col min="1" max="1" width="42.7109375" style="15" customWidth="1"/>
    <col min="2" max="2" width="5.85546875" style="124" customWidth="1"/>
    <col min="3" max="3" width="22" style="15" customWidth="1"/>
    <col min="4" max="4" width="6.28515625" style="15" customWidth="1"/>
    <col min="5" max="5" width="9" style="15" customWidth="1"/>
    <col min="6" max="6" width="22.140625" style="15" customWidth="1"/>
    <col min="7" max="7" width="6.5703125" style="15" customWidth="1"/>
    <col min="8" max="8" width="10" style="15" customWidth="1"/>
    <col min="9" max="9" width="53.42578125" style="15" customWidth="1"/>
    <col min="10" max="10" width="6.42578125" style="15" customWidth="1"/>
    <col min="11" max="11" width="9.7109375" style="15" customWidth="1"/>
    <col min="12" max="13" width="3.7109375" style="15" customWidth="1"/>
    <col min="14" max="16" width="9.28515625" style="15" customWidth="1"/>
    <col min="17" max="18" width="9.42578125" style="61" customWidth="1"/>
    <col min="19" max="16384" width="9.140625" style="61"/>
  </cols>
  <sheetData>
    <row r="1" spans="1:18" ht="18" customHeight="1">
      <c r="A1" s="1304" t="s">
        <v>1539</v>
      </c>
      <c r="B1" s="1304"/>
      <c r="C1" s="1304"/>
      <c r="D1" s="1304"/>
      <c r="E1" s="1304"/>
      <c r="F1" s="1304"/>
      <c r="G1" s="1304"/>
      <c r="H1" s="1304"/>
      <c r="I1" s="1304"/>
      <c r="J1" s="1304"/>
      <c r="K1" s="1304"/>
      <c r="L1" s="1304"/>
      <c r="M1" s="1304"/>
      <c r="N1" s="1304"/>
      <c r="O1" s="1304"/>
      <c r="P1" s="1304"/>
    </row>
    <row r="2" spans="1:18" s="62" customFormat="1" ht="12.75" customHeight="1">
      <c r="A2" s="1308" t="s">
        <v>408</v>
      </c>
      <c r="B2" s="1199" t="s">
        <v>0</v>
      </c>
      <c r="C2" s="1305" t="s">
        <v>409</v>
      </c>
      <c r="D2" s="1306"/>
      <c r="E2" s="1306"/>
      <c r="F2" s="1306"/>
      <c r="G2" s="1306"/>
      <c r="H2" s="1306"/>
      <c r="I2" s="1306"/>
      <c r="J2" s="1306"/>
      <c r="K2" s="1307"/>
      <c r="L2" s="1311" t="s">
        <v>1</v>
      </c>
      <c r="M2" s="1312"/>
      <c r="N2" s="1334"/>
      <c r="O2" s="1335"/>
      <c r="P2" s="1334"/>
      <c r="Q2" s="1334"/>
      <c r="R2" s="1336"/>
    </row>
    <row r="3" spans="1:18" s="62" customFormat="1" ht="23.25" customHeight="1">
      <c r="A3" s="1309"/>
      <c r="B3" s="1200"/>
      <c r="C3" s="1305" t="s">
        <v>4</v>
      </c>
      <c r="D3" s="1306"/>
      <c r="E3" s="1307"/>
      <c r="F3" s="1305" t="s">
        <v>5</v>
      </c>
      <c r="G3" s="1306"/>
      <c r="H3" s="1307"/>
      <c r="I3" s="1305" t="s">
        <v>42</v>
      </c>
      <c r="J3" s="1306"/>
      <c r="K3" s="1307"/>
      <c r="L3" s="1313"/>
      <c r="M3" s="1314"/>
      <c r="N3" s="1339" t="s">
        <v>1037</v>
      </c>
      <c r="O3" s="1340"/>
      <c r="P3" s="1349" t="s">
        <v>1038</v>
      </c>
      <c r="Q3" s="1337" t="s">
        <v>1040</v>
      </c>
      <c r="R3" s="1337" t="s">
        <v>1039</v>
      </c>
    </row>
    <row r="4" spans="1:18" s="62" customFormat="1" ht="84" customHeight="1">
      <c r="A4" s="1310"/>
      <c r="B4" s="1250"/>
      <c r="C4" s="1086" t="s">
        <v>349</v>
      </c>
      <c r="D4" s="1086" t="s">
        <v>6</v>
      </c>
      <c r="E4" s="1086" t="s">
        <v>7</v>
      </c>
      <c r="F4" s="1086" t="s">
        <v>349</v>
      </c>
      <c r="G4" s="1086" t="s">
        <v>6</v>
      </c>
      <c r="H4" s="1086" t="s">
        <v>7</v>
      </c>
      <c r="I4" s="1086" t="s">
        <v>349</v>
      </c>
      <c r="J4" s="1086" t="s">
        <v>6</v>
      </c>
      <c r="K4" s="1086" t="s">
        <v>7</v>
      </c>
      <c r="L4" s="1086" t="s">
        <v>8</v>
      </c>
      <c r="M4" s="68" t="s">
        <v>9</v>
      </c>
      <c r="N4" s="304" t="s">
        <v>10</v>
      </c>
      <c r="O4" s="1032" t="s">
        <v>11</v>
      </c>
      <c r="P4" s="1350"/>
      <c r="Q4" s="1338"/>
      <c r="R4" s="1338"/>
    </row>
    <row r="5" spans="1:18" s="62" customFormat="1" ht="12">
      <c r="A5" s="1065" t="s">
        <v>2</v>
      </c>
      <c r="B5" s="1065" t="s">
        <v>12</v>
      </c>
      <c r="C5" s="1086" t="s">
        <v>13</v>
      </c>
      <c r="D5" s="1086" t="s">
        <v>14</v>
      </c>
      <c r="E5" s="1086" t="s">
        <v>15</v>
      </c>
      <c r="F5" s="1086" t="s">
        <v>16</v>
      </c>
      <c r="G5" s="1086" t="s">
        <v>17</v>
      </c>
      <c r="H5" s="1086" t="s">
        <v>18</v>
      </c>
      <c r="I5" s="1086">
        <v>9</v>
      </c>
      <c r="J5" s="1086">
        <v>10</v>
      </c>
      <c r="K5" s="1086">
        <v>11</v>
      </c>
      <c r="L5" s="1086">
        <v>12</v>
      </c>
      <c r="M5" s="68">
        <v>13</v>
      </c>
      <c r="N5" s="173"/>
      <c r="O5" s="548"/>
      <c r="P5" s="156">
        <v>18</v>
      </c>
      <c r="Q5" s="156">
        <v>19</v>
      </c>
      <c r="R5" s="156">
        <v>19</v>
      </c>
    </row>
    <row r="6" spans="1:18" s="63" customFormat="1" ht="59.25" customHeight="1">
      <c r="A6" s="16" t="s">
        <v>404</v>
      </c>
      <c r="B6" s="802" t="s">
        <v>24</v>
      </c>
      <c r="C6" s="802" t="s">
        <v>25</v>
      </c>
      <c r="D6" s="802" t="s">
        <v>25</v>
      </c>
      <c r="E6" s="802" t="s">
        <v>25</v>
      </c>
      <c r="F6" s="802" t="s">
        <v>25</v>
      </c>
      <c r="G6" s="802" t="s">
        <v>25</v>
      </c>
      <c r="H6" s="802" t="s">
        <v>25</v>
      </c>
      <c r="I6" s="802" t="s">
        <v>25</v>
      </c>
      <c r="J6" s="802" t="s">
        <v>25</v>
      </c>
      <c r="K6" s="802" t="s">
        <v>25</v>
      </c>
      <c r="L6" s="802"/>
      <c r="M6" s="169"/>
      <c r="N6" s="74">
        <f>N7+N339+N433+N456+N515+N520+N673</f>
        <v>2450505.7119999998</v>
      </c>
      <c r="O6" s="74">
        <f>O7+O339+O433+O456+O515+O520+O673</f>
        <v>2301845.2250000001</v>
      </c>
      <c r="P6" s="74">
        <f>P7+P339+P433+P456+P515+P520+P673</f>
        <v>2395643.787</v>
      </c>
      <c r="Q6" s="74">
        <f>Q7+Q339+Q433+Q456+Q515+Q520+Q673</f>
        <v>1787080.6110000003</v>
      </c>
      <c r="R6" s="74">
        <f>R7+R339+R433+R456+R515+R520+R673</f>
        <v>1613701.02</v>
      </c>
    </row>
    <row r="7" spans="1:18" s="63" customFormat="1" ht="60.75" customHeight="1">
      <c r="A7" s="16" t="s">
        <v>405</v>
      </c>
      <c r="B7" s="802" t="s">
        <v>26</v>
      </c>
      <c r="C7" s="802" t="s">
        <v>25</v>
      </c>
      <c r="D7" s="802" t="s">
        <v>25</v>
      </c>
      <c r="E7" s="802" t="s">
        <v>25</v>
      </c>
      <c r="F7" s="802" t="s">
        <v>25</v>
      </c>
      <c r="G7" s="802" t="s">
        <v>25</v>
      </c>
      <c r="H7" s="802" t="s">
        <v>25</v>
      </c>
      <c r="I7" s="802" t="s">
        <v>25</v>
      </c>
      <c r="J7" s="802" t="s">
        <v>25</v>
      </c>
      <c r="K7" s="802" t="s">
        <v>25</v>
      </c>
      <c r="L7" s="802"/>
      <c r="M7" s="169"/>
      <c r="N7" s="74">
        <f>N8+N327</f>
        <v>1035907.5869999999</v>
      </c>
      <c r="O7" s="74">
        <f>O8+O327</f>
        <v>926650.10400000017</v>
      </c>
      <c r="P7" s="74">
        <f>P8+P327</f>
        <v>1006345.0910000001</v>
      </c>
      <c r="Q7" s="74">
        <f>Q8+Q327</f>
        <v>609553.0190000002</v>
      </c>
      <c r="R7" s="74">
        <f>R8+R327</f>
        <v>423772.06699999992</v>
      </c>
    </row>
    <row r="8" spans="1:18" s="63" customFormat="1" ht="59.25" customHeight="1">
      <c r="A8" s="16" t="s">
        <v>687</v>
      </c>
      <c r="B8" s="802">
        <v>1002</v>
      </c>
      <c r="C8" s="802" t="s">
        <v>25</v>
      </c>
      <c r="D8" s="802" t="s">
        <v>25</v>
      </c>
      <c r="E8" s="802" t="s">
        <v>25</v>
      </c>
      <c r="F8" s="802" t="s">
        <v>25</v>
      </c>
      <c r="G8" s="802" t="s">
        <v>25</v>
      </c>
      <c r="H8" s="802" t="s">
        <v>25</v>
      </c>
      <c r="I8" s="802" t="s">
        <v>25</v>
      </c>
      <c r="J8" s="802" t="s">
        <v>25</v>
      </c>
      <c r="K8" s="802" t="s">
        <v>25</v>
      </c>
      <c r="L8" s="37"/>
      <c r="M8" s="73"/>
      <c r="N8" s="74">
        <f>N9+N11+N13+N18+N23+N27+N28+N29+N46+N47+N63+N110+N159+N178+N184+N191+N197+N203+N210+N232+N233+N236+N240+N250+N258+N262+N272+N283+N287+N292+N304+N321+N324+N325</f>
        <v>967551.08699999994</v>
      </c>
      <c r="O8" s="74">
        <f>O9+O11+O13+O18+O23+O27+O28+O29+O46+O47+O63+O110+O159+O178+O184+O191+O197+O203+O210+O232+O233+O236+O240+O250+O258+O262+O272+O283+O287+O292+O304+O321+O324+O325</f>
        <v>858294.60400000017</v>
      </c>
      <c r="P8" s="74">
        <f>P9+P11+P13+P18+P23+P27+P28+P29+P46+P47+P63+P110+P159+P178+P184+P191+P197+P203+P210+P232+P233+P236+P240+P250+P258+P262+P272+P283+P287+P292+P304+P321+P324+P325</f>
        <v>935477.79100000008</v>
      </c>
      <c r="Q8" s="74">
        <f>Q9+Q11+Q13+Q18+Q23+Q27+Q28+Q29+Q46+Q47+Q63+Q110+Q159+Q178+Q184+Q191+Q197+Q203+Q210+Q232+Q233+Q236+Q240+Q250+Q258+Q262+Q272+Q283+Q287+Q292+Q304+Q321+Q324+Q325</f>
        <v>609553.0190000002</v>
      </c>
      <c r="R8" s="74">
        <f>R9+R11+R13+R18+R23+R27+R28+R29+R46+R47+R63+R110+R159+R178+R184+R191+R197+R203+R210+R232+R233+R236+R240+R250+R258+R262+R272+R283+R287+R292+R304+R321+R324+R325</f>
        <v>423772.06699999992</v>
      </c>
    </row>
    <row r="9" spans="1:18" s="63" customFormat="1" ht="12" customHeight="1">
      <c r="A9" s="1315" t="s">
        <v>978</v>
      </c>
      <c r="B9" s="1176">
        <v>1005</v>
      </c>
      <c r="C9" s="98"/>
      <c r="D9" s="28"/>
      <c r="E9" s="28"/>
      <c r="F9" s="28"/>
      <c r="G9" s="28"/>
      <c r="H9" s="28"/>
      <c r="I9" s="4"/>
      <c r="J9" s="4"/>
      <c r="K9" s="4"/>
      <c r="L9" s="1011" t="s">
        <v>28</v>
      </c>
      <c r="M9" s="69" t="s">
        <v>22</v>
      </c>
      <c r="N9" s="74">
        <f t="shared" ref="N9:R9" si="0">SUM(N10:N10)</f>
        <v>3918.3609999999999</v>
      </c>
      <c r="O9" s="74">
        <f t="shared" si="0"/>
        <v>3810.6930000000002</v>
      </c>
      <c r="P9" s="74">
        <f t="shared" si="0"/>
        <v>2859.3</v>
      </c>
      <c r="Q9" s="74">
        <f t="shared" si="0"/>
        <v>2911.9</v>
      </c>
      <c r="R9" s="74">
        <f t="shared" si="0"/>
        <v>2968.2</v>
      </c>
    </row>
    <row r="10" spans="1:18" s="62" customFormat="1" ht="145.5" customHeight="1">
      <c r="A10" s="1316"/>
      <c r="B10" s="1176"/>
      <c r="C10" s="125" t="s">
        <v>43</v>
      </c>
      <c r="D10" s="1025" t="s">
        <v>59</v>
      </c>
      <c r="E10" s="1025" t="s">
        <v>44</v>
      </c>
      <c r="F10" s="1029" t="s">
        <v>27</v>
      </c>
      <c r="G10" s="1029" t="s">
        <v>27</v>
      </c>
      <c r="H10" s="1029" t="s">
        <v>27</v>
      </c>
      <c r="I10" s="126" t="s">
        <v>899</v>
      </c>
      <c r="J10" s="1029" t="s">
        <v>60</v>
      </c>
      <c r="K10" s="1029" t="s">
        <v>61</v>
      </c>
      <c r="L10" s="1029" t="s">
        <v>28</v>
      </c>
      <c r="M10" s="371" t="s">
        <v>22</v>
      </c>
      <c r="N10" s="36">
        <f>3880.361+38</f>
        <v>3918.3609999999999</v>
      </c>
      <c r="O10" s="550">
        <f>3772.693+38</f>
        <v>3810.6930000000002</v>
      </c>
      <c r="P10" s="36">
        <f>2859.3</f>
        <v>2859.3</v>
      </c>
      <c r="Q10" s="36">
        <f>2911.9</f>
        <v>2911.9</v>
      </c>
      <c r="R10" s="36">
        <f>2968.2</f>
        <v>2968.2</v>
      </c>
    </row>
    <row r="11" spans="1:18" s="63" customFormat="1" ht="47.25" customHeight="1">
      <c r="A11" s="1363" t="s">
        <v>979</v>
      </c>
      <c r="B11" s="1364">
        <v>1006</v>
      </c>
      <c r="C11" s="1214" t="s">
        <v>43</v>
      </c>
      <c r="D11" s="1214" t="s">
        <v>295</v>
      </c>
      <c r="E11" s="1214" t="s">
        <v>44</v>
      </c>
      <c r="F11" s="1176"/>
      <c r="G11" s="1176"/>
      <c r="H11" s="1176"/>
      <c r="I11" s="1074" t="s">
        <v>882</v>
      </c>
      <c r="J11" s="1074" t="s">
        <v>54</v>
      </c>
      <c r="K11" s="1074" t="s">
        <v>863</v>
      </c>
      <c r="L11" s="286" t="s">
        <v>30</v>
      </c>
      <c r="M11" s="286" t="s">
        <v>31</v>
      </c>
      <c r="N11" s="839">
        <v>0</v>
      </c>
      <c r="O11" s="839">
        <v>0</v>
      </c>
      <c r="P11" s="839">
        <v>78537.506999999998</v>
      </c>
      <c r="Q11" s="839">
        <v>24489.65</v>
      </c>
      <c r="R11" s="839">
        <v>24489.65</v>
      </c>
    </row>
    <row r="12" spans="1:18" s="63" customFormat="1" ht="37.5" customHeight="1">
      <c r="A12" s="1363"/>
      <c r="B12" s="1365"/>
      <c r="C12" s="1214"/>
      <c r="D12" s="1214"/>
      <c r="E12" s="1214"/>
      <c r="F12" s="1176"/>
      <c r="G12" s="1176"/>
      <c r="H12" s="1176"/>
      <c r="I12" s="1002" t="s">
        <v>70</v>
      </c>
      <c r="J12" s="1002" t="s">
        <v>54</v>
      </c>
      <c r="K12" s="1002" t="s">
        <v>57</v>
      </c>
      <c r="L12" s="1104"/>
      <c r="M12" s="1104"/>
      <c r="N12" s="224"/>
      <c r="O12" s="224"/>
      <c r="P12" s="224"/>
      <c r="Q12" s="224"/>
      <c r="R12" s="224"/>
    </row>
    <row r="13" spans="1:18" s="63" customFormat="1" ht="156" customHeight="1">
      <c r="A13" s="379" t="s">
        <v>776</v>
      </c>
      <c r="B13" s="380">
        <v>1007</v>
      </c>
      <c r="C13" s="380"/>
      <c r="D13" s="380"/>
      <c r="E13" s="380"/>
      <c r="F13" s="380"/>
      <c r="G13" s="380"/>
      <c r="H13" s="380"/>
      <c r="I13" s="380"/>
      <c r="J13" s="380"/>
      <c r="K13" s="380"/>
      <c r="L13" s="380" t="s">
        <v>32</v>
      </c>
      <c r="M13" s="380" t="s">
        <v>33</v>
      </c>
      <c r="N13" s="381">
        <f>SUM(N14:N17)</f>
        <v>3375.9740000000002</v>
      </c>
      <c r="O13" s="381">
        <f>SUM(O14:O17)</f>
        <v>3326.1149999999998</v>
      </c>
      <c r="P13" s="381">
        <f>SUM(P14:P17)</f>
        <v>3742.2</v>
      </c>
      <c r="Q13" s="381">
        <f>SUM(Q14:Q17)</f>
        <v>2889.2</v>
      </c>
      <c r="R13" s="381">
        <f>SUM(R14:R17)</f>
        <v>3451.1000000000004</v>
      </c>
    </row>
    <row r="14" spans="1:18" s="62" customFormat="1" ht="62.25" customHeight="1">
      <c r="A14" s="422" t="s">
        <v>954</v>
      </c>
      <c r="B14" s="417"/>
      <c r="C14" s="1074" t="s">
        <v>43</v>
      </c>
      <c r="D14" s="1074" t="s">
        <v>64</v>
      </c>
      <c r="E14" s="1074" t="s">
        <v>44</v>
      </c>
      <c r="F14" s="1201" t="s">
        <v>584</v>
      </c>
      <c r="G14" s="1074" t="s">
        <v>670</v>
      </c>
      <c r="H14" s="1074" t="s">
        <v>615</v>
      </c>
      <c r="I14" s="1069" t="s">
        <v>1500</v>
      </c>
      <c r="J14" s="1069" t="s">
        <v>955</v>
      </c>
      <c r="K14" s="527" t="s">
        <v>731</v>
      </c>
      <c r="L14" s="1074"/>
      <c r="M14" s="1074"/>
      <c r="N14" s="418"/>
      <c r="O14" s="418"/>
      <c r="P14" s="418"/>
      <c r="Q14" s="418"/>
      <c r="R14" s="418"/>
    </row>
    <row r="15" spans="1:18" s="62" customFormat="1" ht="48.75" customHeight="1">
      <c r="A15" s="615" t="s">
        <v>1042</v>
      </c>
      <c r="B15" s="1104"/>
      <c r="C15" s="1001"/>
      <c r="D15" s="1001"/>
      <c r="E15" s="1001"/>
      <c r="F15" s="1149"/>
      <c r="G15" s="1001"/>
      <c r="H15" s="1001"/>
      <c r="I15" s="1035" t="s">
        <v>766</v>
      </c>
      <c r="J15" s="1035" t="s">
        <v>54</v>
      </c>
      <c r="K15" s="1035" t="s">
        <v>767</v>
      </c>
      <c r="L15" s="1001"/>
      <c r="M15" s="1001"/>
      <c r="N15" s="214">
        <v>0</v>
      </c>
      <c r="O15" s="214">
        <v>0</v>
      </c>
      <c r="P15" s="214">
        <v>0</v>
      </c>
      <c r="Q15" s="214">
        <v>1589.6</v>
      </c>
      <c r="R15" s="214">
        <v>2219.8000000000002</v>
      </c>
    </row>
    <row r="16" spans="1:18" s="62" customFormat="1" ht="84" customHeight="1">
      <c r="A16" s="615"/>
      <c r="B16" s="233" t="s">
        <v>403</v>
      </c>
      <c r="C16" s="1001"/>
      <c r="D16" s="1001"/>
      <c r="E16" s="1001"/>
      <c r="F16" s="1149"/>
      <c r="G16" s="1001"/>
      <c r="H16" s="1001"/>
      <c r="I16" s="1035" t="s">
        <v>575</v>
      </c>
      <c r="J16" s="1035" t="s">
        <v>54</v>
      </c>
      <c r="K16" s="1035" t="s">
        <v>63</v>
      </c>
      <c r="L16" s="1001"/>
      <c r="M16" s="1001"/>
      <c r="N16" s="214">
        <v>12.087</v>
      </c>
      <c r="O16" s="214">
        <v>0</v>
      </c>
      <c r="P16" s="214">
        <v>0</v>
      </c>
      <c r="Q16" s="214">
        <v>0</v>
      </c>
      <c r="R16" s="214">
        <v>0</v>
      </c>
    </row>
    <row r="17" spans="1:18" s="62" customFormat="1" ht="108.75" customHeight="1">
      <c r="A17" s="579" t="s">
        <v>1041</v>
      </c>
      <c r="B17" s="580"/>
      <c r="C17" s="1008"/>
      <c r="D17" s="1008"/>
      <c r="E17" s="1008"/>
      <c r="F17" s="1008"/>
      <c r="G17" s="1008"/>
      <c r="H17" s="1008"/>
      <c r="I17" s="1072" t="s">
        <v>1016</v>
      </c>
      <c r="J17" s="1072" t="s">
        <v>54</v>
      </c>
      <c r="K17" s="1072" t="s">
        <v>425</v>
      </c>
      <c r="L17" s="1008"/>
      <c r="M17" s="1008"/>
      <c r="N17" s="559">
        <v>3363.8870000000002</v>
      </c>
      <c r="O17" s="559">
        <v>3326.1149999999998</v>
      </c>
      <c r="P17" s="559">
        <v>3742.2</v>
      </c>
      <c r="Q17" s="559">
        <v>1299.5999999999999</v>
      </c>
      <c r="R17" s="559">
        <v>1231.3</v>
      </c>
    </row>
    <row r="18" spans="1:18" s="63" customFormat="1" ht="60.75" customHeight="1">
      <c r="A18" s="237" t="s">
        <v>688</v>
      </c>
      <c r="B18" s="236" t="s">
        <v>426</v>
      </c>
      <c r="C18" s="237"/>
      <c r="D18" s="383"/>
      <c r="E18" s="289"/>
      <c r="F18" s="435"/>
      <c r="G18" s="435"/>
      <c r="H18" s="435"/>
      <c r="I18" s="384"/>
      <c r="J18" s="384"/>
      <c r="K18" s="384"/>
      <c r="L18" s="435" t="s">
        <v>32</v>
      </c>
      <c r="M18" s="435" t="s">
        <v>34</v>
      </c>
      <c r="N18" s="219">
        <f>SUM(N19:N22)</f>
        <v>4500</v>
      </c>
      <c r="O18" s="219">
        <f t="shared" ref="O18:R18" si="1">SUM(O19:O22)</f>
        <v>4500</v>
      </c>
      <c r="P18" s="219">
        <f t="shared" si="1"/>
        <v>11041.1</v>
      </c>
      <c r="Q18" s="219">
        <f t="shared" si="1"/>
        <v>6000</v>
      </c>
      <c r="R18" s="219">
        <f t="shared" si="1"/>
        <v>6000</v>
      </c>
    </row>
    <row r="19" spans="1:18" s="62" customFormat="1" ht="61.5" customHeight="1">
      <c r="A19" s="422" t="s">
        <v>952</v>
      </c>
      <c r="B19" s="419"/>
      <c r="C19" s="1271" t="s">
        <v>43</v>
      </c>
      <c r="D19" s="1271" t="s">
        <v>65</v>
      </c>
      <c r="E19" s="1271" t="s">
        <v>44</v>
      </c>
      <c r="F19" s="1271" t="s">
        <v>27</v>
      </c>
      <c r="G19" s="1271" t="s">
        <v>27</v>
      </c>
      <c r="H19" s="1271" t="s">
        <v>27</v>
      </c>
      <c r="I19" s="1069" t="s">
        <v>1500</v>
      </c>
      <c r="J19" s="1069" t="s">
        <v>947</v>
      </c>
      <c r="K19" s="527" t="s">
        <v>731</v>
      </c>
      <c r="L19" s="1074"/>
      <c r="M19" s="1074"/>
      <c r="N19" s="418"/>
      <c r="O19" s="418"/>
      <c r="P19" s="418"/>
      <c r="Q19" s="418"/>
      <c r="R19" s="418"/>
    </row>
    <row r="20" spans="1:18" s="62" customFormat="1" ht="108">
      <c r="A20" s="795" t="s">
        <v>1220</v>
      </c>
      <c r="B20" s="236"/>
      <c r="C20" s="1159"/>
      <c r="D20" s="1159"/>
      <c r="E20" s="1159"/>
      <c r="F20" s="1159"/>
      <c r="G20" s="1159"/>
      <c r="H20" s="1159"/>
      <c r="I20" s="1123" t="s">
        <v>804</v>
      </c>
      <c r="J20" s="1070" t="s">
        <v>502</v>
      </c>
      <c r="K20" s="1070" t="s">
        <v>62</v>
      </c>
      <c r="L20" s="1001"/>
      <c r="M20" s="1001"/>
      <c r="N20" s="214">
        <v>4500</v>
      </c>
      <c r="O20" s="214">
        <v>4500</v>
      </c>
      <c r="P20" s="214">
        <v>4541.1000000000004</v>
      </c>
      <c r="Q20" s="214">
        <v>0</v>
      </c>
      <c r="R20" s="214">
        <v>0</v>
      </c>
    </row>
    <row r="21" spans="1:18" s="62" customFormat="1" ht="55.5" customHeight="1">
      <c r="A21" s="1147" t="s">
        <v>1410</v>
      </c>
      <c r="B21" s="233" t="s">
        <v>422</v>
      </c>
      <c r="C21" s="1159"/>
      <c r="D21" s="1159"/>
      <c r="E21" s="1159"/>
      <c r="F21" s="1159"/>
      <c r="G21" s="1159"/>
      <c r="H21" s="1159"/>
      <c r="I21" s="1394" t="s">
        <v>1477</v>
      </c>
      <c r="J21" s="1070" t="s">
        <v>54</v>
      </c>
      <c r="K21" s="1070" t="s">
        <v>1476</v>
      </c>
      <c r="L21" s="1001"/>
      <c r="M21" s="1001"/>
      <c r="N21" s="214">
        <v>0</v>
      </c>
      <c r="O21" s="214">
        <v>0</v>
      </c>
      <c r="P21" s="214">
        <v>3500</v>
      </c>
      <c r="Q21" s="214">
        <v>6000</v>
      </c>
      <c r="R21" s="214">
        <v>6000</v>
      </c>
    </row>
    <row r="22" spans="1:18" s="62" customFormat="1" ht="51.75" customHeight="1">
      <c r="A22" s="1142"/>
      <c r="B22" s="670"/>
      <c r="C22" s="1008"/>
      <c r="D22" s="1008"/>
      <c r="E22" s="1008"/>
      <c r="F22" s="1008"/>
      <c r="G22" s="1008"/>
      <c r="H22" s="1008"/>
      <c r="I22" s="1395"/>
      <c r="J22" s="1010"/>
      <c r="K22" s="1010"/>
      <c r="L22" s="1008"/>
      <c r="M22" s="1008"/>
      <c r="N22" s="559">
        <v>0</v>
      </c>
      <c r="O22" s="559">
        <v>0</v>
      </c>
      <c r="P22" s="559">
        <v>3000</v>
      </c>
      <c r="Q22" s="559">
        <v>0</v>
      </c>
      <c r="R22" s="559">
        <v>0</v>
      </c>
    </row>
    <row r="23" spans="1:18" s="63" customFormat="1" ht="59.25" customHeight="1">
      <c r="A23" s="38" t="s">
        <v>427</v>
      </c>
      <c r="B23" s="1011">
        <v>1010</v>
      </c>
      <c r="C23" s="38"/>
      <c r="D23" s="38"/>
      <c r="E23" s="38"/>
      <c r="F23" s="38"/>
      <c r="G23" s="38"/>
      <c r="H23" s="38"/>
      <c r="I23" s="3"/>
      <c r="J23" s="100"/>
      <c r="K23" s="100"/>
      <c r="L23" s="1011" t="s">
        <v>32</v>
      </c>
      <c r="M23" s="1011" t="s">
        <v>34</v>
      </c>
      <c r="N23" s="52">
        <f t="shared" ref="N23:R23" si="2">SUM(N24:N26)</f>
        <v>2567.0970000000002</v>
      </c>
      <c r="O23" s="52">
        <f t="shared" si="2"/>
        <v>2566.7809999999999</v>
      </c>
      <c r="P23" s="52">
        <f t="shared" si="2"/>
        <v>7784.1970000000001</v>
      </c>
      <c r="Q23" s="52">
        <f t="shared" si="2"/>
        <v>0</v>
      </c>
      <c r="R23" s="52">
        <f t="shared" si="2"/>
        <v>0</v>
      </c>
    </row>
    <row r="24" spans="1:18" s="62" customFormat="1" ht="60" customHeight="1">
      <c r="A24" s="422" t="s">
        <v>953</v>
      </c>
      <c r="B24" s="421"/>
      <c r="C24" s="1389" t="s">
        <v>43</v>
      </c>
      <c r="D24" s="1074" t="s">
        <v>65</v>
      </c>
      <c r="E24" s="1074" t="s">
        <v>44</v>
      </c>
      <c r="F24" s="422"/>
      <c r="G24" s="422"/>
      <c r="H24" s="422"/>
      <c r="I24" s="1069" t="s">
        <v>1500</v>
      </c>
      <c r="J24" s="1069" t="s">
        <v>947</v>
      </c>
      <c r="K24" s="527" t="s">
        <v>731</v>
      </c>
      <c r="L24" s="1074"/>
      <c r="M24" s="1074"/>
      <c r="N24" s="418"/>
      <c r="O24" s="418"/>
      <c r="P24" s="418"/>
      <c r="Q24" s="418"/>
      <c r="R24" s="418"/>
    </row>
    <row r="25" spans="1:18" s="62" customFormat="1" ht="59.25" customHeight="1">
      <c r="A25" s="615" t="s">
        <v>1220</v>
      </c>
      <c r="B25" s="237"/>
      <c r="C25" s="1149"/>
      <c r="D25" s="1001"/>
      <c r="E25" s="1001"/>
      <c r="F25" s="615"/>
      <c r="G25" s="615"/>
      <c r="H25" s="615"/>
      <c r="I25" s="423" t="s">
        <v>561</v>
      </c>
      <c r="J25" s="1070" t="s">
        <v>54</v>
      </c>
      <c r="K25" s="1070" t="s">
        <v>562</v>
      </c>
      <c r="L25" s="1001"/>
      <c r="M25" s="1001"/>
      <c r="N25" s="214">
        <v>2567.0970000000002</v>
      </c>
      <c r="O25" s="214">
        <v>2566.7809999999999</v>
      </c>
      <c r="P25" s="214">
        <v>7784.1970000000001</v>
      </c>
      <c r="Q25" s="214">
        <v>0</v>
      </c>
      <c r="R25" s="214">
        <v>0</v>
      </c>
    </row>
    <row r="26" spans="1:18" s="62" customFormat="1" ht="109.5" customHeight="1">
      <c r="A26" s="579"/>
      <c r="B26" s="424"/>
      <c r="C26" s="1002"/>
      <c r="D26" s="1002"/>
      <c r="E26" s="1002"/>
      <c r="F26" s="718"/>
      <c r="G26" s="718"/>
      <c r="H26" s="718"/>
      <c r="I26" s="425" t="s">
        <v>804</v>
      </c>
      <c r="J26" s="420" t="s">
        <v>502</v>
      </c>
      <c r="K26" s="420" t="s">
        <v>62</v>
      </c>
      <c r="L26" s="1008"/>
      <c r="M26" s="1008"/>
      <c r="N26" s="559"/>
      <c r="O26" s="559"/>
      <c r="P26" s="559"/>
      <c r="Q26" s="559"/>
      <c r="R26" s="559"/>
    </row>
    <row r="27" spans="1:18" s="63" customFormat="1" ht="59.25" hidden="1" customHeight="1">
      <c r="A27" s="38" t="s">
        <v>428</v>
      </c>
      <c r="B27" s="1011">
        <v>1013</v>
      </c>
      <c r="C27" s="1032"/>
      <c r="D27" s="1032"/>
      <c r="E27" s="1032"/>
      <c r="F27" s="1032"/>
      <c r="G27" s="53"/>
      <c r="H27" s="91"/>
      <c r="I27" s="83"/>
      <c r="J27" s="2"/>
      <c r="K27" s="2"/>
      <c r="L27" s="1011"/>
      <c r="M27" s="1011"/>
      <c r="N27" s="38"/>
      <c r="O27" s="38"/>
      <c r="P27" s="38"/>
      <c r="Q27" s="38"/>
      <c r="R27" s="38"/>
    </row>
    <row r="28" spans="1:18" s="63" customFormat="1" ht="59.25" hidden="1" customHeight="1">
      <c r="A28" s="38" t="s">
        <v>429</v>
      </c>
      <c r="B28" s="1011">
        <v>1014</v>
      </c>
      <c r="C28" s="1032" t="s">
        <v>43</v>
      </c>
      <c r="D28" s="1032" t="s">
        <v>296</v>
      </c>
      <c r="E28" s="1032" t="s">
        <v>44</v>
      </c>
      <c r="F28" s="1032" t="s">
        <v>341</v>
      </c>
      <c r="G28" s="53" t="s">
        <v>54</v>
      </c>
      <c r="H28" s="91" t="s">
        <v>342</v>
      </c>
      <c r="I28" s="83" t="s">
        <v>66</v>
      </c>
      <c r="J28" s="2" t="s">
        <v>54</v>
      </c>
      <c r="K28" s="2" t="s">
        <v>67</v>
      </c>
      <c r="L28" s="1011" t="s">
        <v>28</v>
      </c>
      <c r="M28" s="1011" t="s">
        <v>22</v>
      </c>
      <c r="N28" s="38"/>
      <c r="O28" s="38"/>
      <c r="P28" s="38"/>
      <c r="Q28" s="38"/>
      <c r="R28" s="38"/>
    </row>
    <row r="29" spans="1:18" s="63" customFormat="1" ht="35.25" customHeight="1">
      <c r="A29" s="38" t="s">
        <v>430</v>
      </c>
      <c r="B29" s="1011">
        <v>1015</v>
      </c>
      <c r="C29" s="38"/>
      <c r="D29" s="38"/>
      <c r="E29" s="38"/>
      <c r="F29" s="38"/>
      <c r="G29" s="38"/>
      <c r="H29" s="38"/>
      <c r="I29" s="188"/>
      <c r="J29" s="3"/>
      <c r="K29" s="3"/>
      <c r="L29" s="1011"/>
      <c r="M29" s="1011"/>
      <c r="N29" s="52">
        <f>SUM(N30:N45)</f>
        <v>1129.8590000000002</v>
      </c>
      <c r="O29" s="52">
        <f t="shared" ref="O29:R29" si="3">SUM(O30:O45)</f>
        <v>1115.9740000000002</v>
      </c>
      <c r="P29" s="52">
        <f t="shared" si="3"/>
        <v>1213.8</v>
      </c>
      <c r="Q29" s="52">
        <f t="shared" si="3"/>
        <v>30</v>
      </c>
      <c r="R29" s="52">
        <f t="shared" si="3"/>
        <v>30</v>
      </c>
    </row>
    <row r="30" spans="1:18" s="62" customFormat="1" ht="12.75" customHeight="1">
      <c r="A30" s="586" t="s">
        <v>949</v>
      </c>
      <c r="B30" s="1346"/>
      <c r="C30" s="1355" t="s">
        <v>71</v>
      </c>
      <c r="D30" s="1355" t="s">
        <v>72</v>
      </c>
      <c r="E30" s="1355" t="s">
        <v>73</v>
      </c>
      <c r="F30" s="1291" t="s">
        <v>74</v>
      </c>
      <c r="G30" s="1291" t="s">
        <v>510</v>
      </c>
      <c r="H30" s="1291" t="s">
        <v>75</v>
      </c>
      <c r="I30" s="582"/>
      <c r="J30" s="1082"/>
      <c r="K30" s="1082"/>
      <c r="L30" s="589"/>
      <c r="M30" s="589"/>
      <c r="N30" s="590"/>
      <c r="O30" s="590"/>
      <c r="P30" s="590"/>
      <c r="Q30" s="590"/>
      <c r="R30" s="591"/>
    </row>
    <row r="31" spans="1:18" s="62" customFormat="1" ht="36.75" customHeight="1">
      <c r="A31" s="583" t="s">
        <v>1043</v>
      </c>
      <c r="B31" s="1213"/>
      <c r="C31" s="1356"/>
      <c r="D31" s="1356"/>
      <c r="E31" s="1356"/>
      <c r="F31" s="1189"/>
      <c r="G31" s="1189"/>
      <c r="H31" s="1189"/>
      <c r="I31" s="1198" t="s">
        <v>1525</v>
      </c>
      <c r="J31" s="1189" t="s">
        <v>955</v>
      </c>
      <c r="K31" s="1189" t="s">
        <v>731</v>
      </c>
      <c r="L31" s="229"/>
      <c r="M31" s="229"/>
      <c r="N31" s="220"/>
      <c r="O31" s="220"/>
      <c r="P31" s="220"/>
      <c r="Q31" s="220"/>
      <c r="R31" s="78"/>
    </row>
    <row r="32" spans="1:18" s="62" customFormat="1" ht="58.5" customHeight="1">
      <c r="A32" s="228" t="s">
        <v>1044</v>
      </c>
      <c r="B32" s="1213"/>
      <c r="C32" s="1356"/>
      <c r="D32" s="1356"/>
      <c r="E32" s="1356"/>
      <c r="F32" s="1189"/>
      <c r="G32" s="1189"/>
      <c r="H32" s="1189"/>
      <c r="I32" s="1198"/>
      <c r="J32" s="1189"/>
      <c r="K32" s="1189"/>
      <c r="L32" s="229" t="s">
        <v>35</v>
      </c>
      <c r="M32" s="229" t="s">
        <v>19</v>
      </c>
      <c r="N32" s="220">
        <v>61.3</v>
      </c>
      <c r="O32" s="220">
        <v>61.3</v>
      </c>
      <c r="P32" s="220">
        <v>172.4</v>
      </c>
      <c r="Q32" s="220">
        <v>0</v>
      </c>
      <c r="R32" s="78">
        <v>0</v>
      </c>
    </row>
    <row r="33" spans="1:18" s="62" customFormat="1" ht="59.25" customHeight="1">
      <c r="A33" s="228" t="s">
        <v>1045</v>
      </c>
      <c r="B33" s="1213"/>
      <c r="C33" s="581"/>
      <c r="D33" s="581"/>
      <c r="E33" s="581"/>
      <c r="F33" s="256"/>
      <c r="G33" s="256"/>
      <c r="H33" s="256"/>
      <c r="I33" s="1198" t="s">
        <v>424</v>
      </c>
      <c r="J33" s="1019" t="s">
        <v>68</v>
      </c>
      <c r="K33" s="1019" t="s">
        <v>69</v>
      </c>
      <c r="L33" s="229" t="s">
        <v>35</v>
      </c>
      <c r="M33" s="229" t="s">
        <v>19</v>
      </c>
      <c r="N33" s="220">
        <v>10</v>
      </c>
      <c r="O33" s="220">
        <v>10</v>
      </c>
      <c r="P33" s="220">
        <v>10</v>
      </c>
      <c r="Q33" s="220">
        <v>10</v>
      </c>
      <c r="R33" s="78">
        <v>10</v>
      </c>
    </row>
    <row r="34" spans="1:18" s="62" customFormat="1" ht="35.25" customHeight="1">
      <c r="A34" s="228" t="s">
        <v>1046</v>
      </c>
      <c r="B34" s="1213"/>
      <c r="C34" s="581"/>
      <c r="D34" s="581"/>
      <c r="E34" s="581"/>
      <c r="F34" s="256"/>
      <c r="G34" s="256"/>
      <c r="H34" s="256"/>
      <c r="I34" s="1198"/>
      <c r="J34" s="1019"/>
      <c r="K34" s="1019"/>
      <c r="L34" s="229" t="s">
        <v>35</v>
      </c>
      <c r="M34" s="229" t="s">
        <v>19</v>
      </c>
      <c r="N34" s="220">
        <v>10</v>
      </c>
      <c r="O34" s="220">
        <v>10</v>
      </c>
      <c r="P34" s="220">
        <v>10</v>
      </c>
      <c r="Q34" s="220">
        <v>10</v>
      </c>
      <c r="R34" s="78">
        <v>10</v>
      </c>
    </row>
    <row r="35" spans="1:18" s="62" customFormat="1" ht="47.25" customHeight="1">
      <c r="A35" s="228" t="s">
        <v>1047</v>
      </c>
      <c r="B35" s="1213"/>
      <c r="C35" s="581"/>
      <c r="D35" s="581"/>
      <c r="E35" s="581"/>
      <c r="F35" s="256"/>
      <c r="G35" s="256"/>
      <c r="H35" s="256"/>
      <c r="I35" s="1027"/>
      <c r="J35" s="1019"/>
      <c r="K35" s="1019"/>
      <c r="L35" s="229" t="s">
        <v>35</v>
      </c>
      <c r="M35" s="229" t="s">
        <v>19</v>
      </c>
      <c r="N35" s="220">
        <v>15</v>
      </c>
      <c r="O35" s="220">
        <v>1.4</v>
      </c>
      <c r="P35" s="220">
        <v>15</v>
      </c>
      <c r="Q35" s="220">
        <v>0</v>
      </c>
      <c r="R35" s="78">
        <v>0</v>
      </c>
    </row>
    <row r="36" spans="1:18" s="62" customFormat="1" ht="48" customHeight="1">
      <c r="A36" s="228" t="s">
        <v>1048</v>
      </c>
      <c r="B36" s="1213"/>
      <c r="C36" s="581"/>
      <c r="D36" s="581"/>
      <c r="E36" s="581"/>
      <c r="F36" s="256"/>
      <c r="G36" s="256"/>
      <c r="H36" s="256"/>
      <c r="I36" s="1027"/>
      <c r="J36" s="1019"/>
      <c r="K36" s="1019"/>
      <c r="L36" s="229" t="s">
        <v>35</v>
      </c>
      <c r="M36" s="229" t="s">
        <v>19</v>
      </c>
      <c r="N36" s="220">
        <v>10</v>
      </c>
      <c r="O36" s="220">
        <v>10</v>
      </c>
      <c r="P36" s="220">
        <v>10</v>
      </c>
      <c r="Q36" s="220">
        <v>10</v>
      </c>
      <c r="R36" s="78">
        <v>10</v>
      </c>
    </row>
    <row r="37" spans="1:18" s="62" customFormat="1" ht="48.75" customHeight="1">
      <c r="A37" s="228" t="s">
        <v>1062</v>
      </c>
      <c r="B37" s="1213"/>
      <c r="C37" s="581"/>
      <c r="D37" s="581"/>
      <c r="E37" s="581"/>
      <c r="F37" s="256"/>
      <c r="G37" s="256"/>
      <c r="H37" s="256"/>
      <c r="I37" s="1027"/>
      <c r="J37" s="1019"/>
      <c r="K37" s="1019"/>
      <c r="L37" s="229" t="s">
        <v>35</v>
      </c>
      <c r="M37" s="229" t="s">
        <v>19</v>
      </c>
      <c r="N37" s="220">
        <v>0</v>
      </c>
      <c r="O37" s="220">
        <v>0</v>
      </c>
      <c r="P37" s="220">
        <v>28</v>
      </c>
      <c r="Q37" s="220">
        <v>0</v>
      </c>
      <c r="R37" s="78">
        <v>0</v>
      </c>
    </row>
    <row r="38" spans="1:18" s="62" customFormat="1" ht="36">
      <c r="A38" s="228" t="s">
        <v>1054</v>
      </c>
      <c r="B38" s="1213"/>
      <c r="C38" s="581"/>
      <c r="D38" s="581"/>
      <c r="E38" s="581"/>
      <c r="F38" s="256"/>
      <c r="G38" s="256"/>
      <c r="H38" s="256"/>
      <c r="I38" s="1027"/>
      <c r="J38" s="1019"/>
      <c r="K38" s="1019"/>
      <c r="L38" s="229" t="s">
        <v>35</v>
      </c>
      <c r="M38" s="229" t="s">
        <v>23</v>
      </c>
      <c r="N38" s="220">
        <v>30.027999999999999</v>
      </c>
      <c r="O38" s="220">
        <v>30.027999999999999</v>
      </c>
      <c r="P38" s="220">
        <v>0</v>
      </c>
      <c r="Q38" s="220">
        <v>0</v>
      </c>
      <c r="R38" s="78">
        <v>0</v>
      </c>
    </row>
    <row r="39" spans="1:18" s="62" customFormat="1" ht="48.75" customHeight="1">
      <c r="A39" s="583" t="s">
        <v>1049</v>
      </c>
      <c r="B39" s="1213"/>
      <c r="C39" s="581"/>
      <c r="D39" s="581"/>
      <c r="E39" s="581"/>
      <c r="F39" s="256"/>
      <c r="G39" s="256"/>
      <c r="H39" s="256"/>
      <c r="I39" s="1348" t="s">
        <v>1525</v>
      </c>
      <c r="J39" s="1019" t="s">
        <v>947</v>
      </c>
      <c r="K39" s="1019" t="s">
        <v>731</v>
      </c>
      <c r="L39" s="229"/>
      <c r="M39" s="229"/>
      <c r="N39" s="220"/>
      <c r="O39" s="220"/>
      <c r="P39" s="220"/>
      <c r="Q39" s="220"/>
      <c r="R39" s="78"/>
    </row>
    <row r="40" spans="1:18" s="62" customFormat="1" ht="48.75" customHeight="1">
      <c r="A40" s="228" t="s">
        <v>1050</v>
      </c>
      <c r="B40" s="1213"/>
      <c r="C40" s="581"/>
      <c r="D40" s="581"/>
      <c r="E40" s="581"/>
      <c r="F40" s="256"/>
      <c r="G40" s="256"/>
      <c r="H40" s="256"/>
      <c r="I40" s="1348"/>
      <c r="J40" s="1019"/>
      <c r="K40" s="1019"/>
      <c r="L40" s="229" t="s">
        <v>35</v>
      </c>
      <c r="M40" s="229" t="s">
        <v>19</v>
      </c>
      <c r="N40" s="220">
        <v>86.188999999999993</v>
      </c>
      <c r="O40" s="220">
        <v>85.903999999999996</v>
      </c>
      <c r="P40" s="220">
        <v>170</v>
      </c>
      <c r="Q40" s="220">
        <v>0</v>
      </c>
      <c r="R40" s="78">
        <v>0</v>
      </c>
    </row>
    <row r="41" spans="1:18" s="62" customFormat="1" ht="36" customHeight="1">
      <c r="A41" s="228" t="s">
        <v>1051</v>
      </c>
      <c r="B41" s="1213"/>
      <c r="C41" s="581"/>
      <c r="D41" s="581"/>
      <c r="E41" s="581"/>
      <c r="F41" s="256"/>
      <c r="G41" s="256"/>
      <c r="H41" s="256"/>
      <c r="I41" s="1027"/>
      <c r="J41" s="1019"/>
      <c r="K41" s="1019"/>
      <c r="L41" s="229" t="s">
        <v>35</v>
      </c>
      <c r="M41" s="229" t="s">
        <v>19</v>
      </c>
      <c r="N41" s="220">
        <v>206.9</v>
      </c>
      <c r="O41" s="220">
        <v>206.9</v>
      </c>
      <c r="P41" s="220">
        <v>798.4</v>
      </c>
      <c r="Q41" s="220">
        <v>0</v>
      </c>
      <c r="R41" s="78">
        <v>0</v>
      </c>
    </row>
    <row r="42" spans="1:18" s="62" customFormat="1" ht="60.75" customHeight="1">
      <c r="A42" s="228" t="s">
        <v>1052</v>
      </c>
      <c r="B42" s="1213"/>
      <c r="C42" s="581"/>
      <c r="D42" s="581"/>
      <c r="E42" s="581"/>
      <c r="F42" s="256"/>
      <c r="G42" s="256"/>
      <c r="H42" s="256"/>
      <c r="I42" s="1198" t="s">
        <v>424</v>
      </c>
      <c r="J42" s="1189" t="s">
        <v>68</v>
      </c>
      <c r="K42" s="1189" t="s">
        <v>69</v>
      </c>
      <c r="L42" s="229" t="s">
        <v>35</v>
      </c>
      <c r="M42" s="229" t="s">
        <v>19</v>
      </c>
      <c r="N42" s="220">
        <v>253.53100000000001</v>
      </c>
      <c r="O42" s="220">
        <v>253.53100000000001</v>
      </c>
      <c r="P42" s="220">
        <v>0</v>
      </c>
      <c r="Q42" s="220">
        <v>0</v>
      </c>
      <c r="R42" s="78">
        <v>0</v>
      </c>
    </row>
    <row r="43" spans="1:18" s="62" customFormat="1" ht="48.75" customHeight="1">
      <c r="A43" s="228" t="s">
        <v>1053</v>
      </c>
      <c r="B43" s="1213"/>
      <c r="C43" s="870"/>
      <c r="D43" s="870"/>
      <c r="E43" s="870"/>
      <c r="F43" s="256"/>
      <c r="G43" s="256"/>
      <c r="H43" s="256"/>
      <c r="I43" s="1198"/>
      <c r="J43" s="1189"/>
      <c r="K43" s="1189"/>
      <c r="L43" s="229" t="s">
        <v>35</v>
      </c>
      <c r="M43" s="229" t="s">
        <v>19</v>
      </c>
      <c r="N43" s="220">
        <v>446.911</v>
      </c>
      <c r="O43" s="220">
        <v>446.911</v>
      </c>
      <c r="P43" s="220">
        <v>0</v>
      </c>
      <c r="Q43" s="220">
        <v>0</v>
      </c>
      <c r="R43" s="78">
        <v>0</v>
      </c>
    </row>
    <row r="44" spans="1:18" s="62" customFormat="1" ht="36" hidden="1">
      <c r="A44" s="228" t="s">
        <v>1055</v>
      </c>
      <c r="B44" s="1038"/>
      <c r="C44" s="581"/>
      <c r="D44" s="581"/>
      <c r="E44" s="581"/>
      <c r="F44" s="256"/>
      <c r="G44" s="256"/>
      <c r="H44" s="256"/>
      <c r="I44" s="1027"/>
      <c r="J44" s="1019"/>
      <c r="K44" s="1019"/>
      <c r="L44" s="229" t="s">
        <v>35</v>
      </c>
      <c r="M44" s="229" t="s">
        <v>19</v>
      </c>
      <c r="N44" s="220">
        <v>0</v>
      </c>
      <c r="O44" s="220">
        <v>0</v>
      </c>
      <c r="P44" s="220">
        <v>0</v>
      </c>
      <c r="Q44" s="220">
        <v>0</v>
      </c>
      <c r="R44" s="78">
        <v>0</v>
      </c>
    </row>
    <row r="45" spans="1:18" s="62" customFormat="1" ht="51" hidden="1" customHeight="1">
      <c r="A45" s="587" t="s">
        <v>1056</v>
      </c>
      <c r="B45" s="1057"/>
      <c r="C45" s="588"/>
      <c r="D45" s="588"/>
      <c r="E45" s="588"/>
      <c r="F45" s="394"/>
      <c r="G45" s="394"/>
      <c r="H45" s="394"/>
      <c r="I45" s="209"/>
      <c r="J45" s="522"/>
      <c r="K45" s="522"/>
      <c r="L45" s="202" t="s">
        <v>35</v>
      </c>
      <c r="M45" s="202" t="s">
        <v>19</v>
      </c>
      <c r="N45" s="208">
        <v>0</v>
      </c>
      <c r="O45" s="208">
        <v>0</v>
      </c>
      <c r="P45" s="208">
        <v>0</v>
      </c>
      <c r="Q45" s="208">
        <v>0</v>
      </c>
      <c r="R45" s="840">
        <v>0</v>
      </c>
    </row>
    <row r="46" spans="1:18" s="63" customFormat="1" ht="73.5" hidden="1" customHeight="1">
      <c r="A46" s="289" t="s">
        <v>431</v>
      </c>
      <c r="B46" s="435">
        <v>1018</v>
      </c>
      <c r="C46" s="290" t="s">
        <v>43</v>
      </c>
      <c r="D46" s="584" t="s">
        <v>297</v>
      </c>
      <c r="E46" s="585" t="s">
        <v>44</v>
      </c>
      <c r="F46" s="228" t="s">
        <v>27</v>
      </c>
      <c r="G46" s="228" t="s">
        <v>27</v>
      </c>
      <c r="H46" s="228" t="s">
        <v>27</v>
      </c>
      <c r="I46" s="1038" t="s">
        <v>80</v>
      </c>
      <c r="J46" s="1038" t="s">
        <v>54</v>
      </c>
      <c r="K46" s="1038" t="s">
        <v>79</v>
      </c>
      <c r="L46" s="435" t="s">
        <v>30</v>
      </c>
      <c r="M46" s="493" t="s">
        <v>35</v>
      </c>
      <c r="N46" s="224"/>
      <c r="O46" s="224"/>
      <c r="P46" s="224"/>
      <c r="Q46" s="224"/>
      <c r="R46" s="224"/>
    </row>
    <row r="47" spans="1:18" s="62" customFormat="1" ht="131.25" customHeight="1">
      <c r="A47" s="16" t="s">
        <v>689</v>
      </c>
      <c r="B47" s="802">
        <v>1019</v>
      </c>
      <c r="C47" s="5"/>
      <c r="D47" s="6"/>
      <c r="E47" s="7"/>
      <c r="F47" s="16" t="s">
        <v>27</v>
      </c>
      <c r="G47" s="16" t="s">
        <v>27</v>
      </c>
      <c r="H47" s="16" t="s">
        <v>27</v>
      </c>
      <c r="I47" s="16" t="s">
        <v>27</v>
      </c>
      <c r="J47" s="16" t="s">
        <v>27</v>
      </c>
      <c r="K47" s="16" t="s">
        <v>27</v>
      </c>
      <c r="L47" s="802"/>
      <c r="M47" s="169"/>
      <c r="N47" s="74">
        <f t="shared" ref="N47:R47" si="4">SUM(N48:N62)</f>
        <v>172595.97400000002</v>
      </c>
      <c r="O47" s="74">
        <f t="shared" si="4"/>
        <v>172517.28899999999</v>
      </c>
      <c r="P47" s="74">
        <f t="shared" si="4"/>
        <v>178836.6</v>
      </c>
      <c r="Q47" s="74">
        <f t="shared" si="4"/>
        <v>126456.4</v>
      </c>
      <c r="R47" s="74">
        <f t="shared" si="4"/>
        <v>128007.59999999999</v>
      </c>
    </row>
    <row r="48" spans="1:18" s="62" customFormat="1" ht="12" customHeight="1">
      <c r="A48" s="426" t="s">
        <v>980</v>
      </c>
      <c r="B48" s="426"/>
      <c r="C48" s="427"/>
      <c r="D48" s="427"/>
      <c r="E48" s="427"/>
      <c r="F48" s="427"/>
      <c r="G48" s="427"/>
      <c r="H48" s="427"/>
      <c r="I48" s="592"/>
      <c r="J48" s="1098"/>
      <c r="K48" s="592"/>
      <c r="L48" s="648"/>
      <c r="M48" s="648"/>
      <c r="N48" s="523"/>
      <c r="O48" s="523"/>
      <c r="P48" s="523"/>
      <c r="Q48" s="523"/>
      <c r="R48" s="523"/>
    </row>
    <row r="49" spans="1:18" s="62" customFormat="1" ht="35.25" customHeight="1">
      <c r="A49" s="583" t="s">
        <v>1057</v>
      </c>
      <c r="B49" s="428"/>
      <c r="C49" s="231"/>
      <c r="D49" s="231"/>
      <c r="E49" s="231"/>
      <c r="F49" s="231"/>
      <c r="G49" s="231"/>
      <c r="H49" s="231"/>
      <c r="I49" s="1296" t="s">
        <v>1525</v>
      </c>
      <c r="J49" s="1083" t="s">
        <v>955</v>
      </c>
      <c r="K49" s="231" t="s">
        <v>731</v>
      </c>
      <c r="L49" s="233"/>
      <c r="M49" s="233"/>
      <c r="N49" s="215"/>
      <c r="O49" s="215"/>
      <c r="P49" s="215"/>
      <c r="Q49" s="215"/>
      <c r="R49" s="215"/>
    </row>
    <row r="50" spans="1:18" s="62" customFormat="1" ht="60.75" customHeight="1">
      <c r="A50" s="228" t="s">
        <v>1058</v>
      </c>
      <c r="B50" s="428"/>
      <c r="C50" s="231"/>
      <c r="D50" s="231"/>
      <c r="E50" s="231"/>
      <c r="F50" s="231"/>
      <c r="G50" s="231"/>
      <c r="H50" s="231"/>
      <c r="I50" s="1296"/>
      <c r="J50" s="1083"/>
      <c r="K50" s="575"/>
      <c r="L50" s="233" t="s">
        <v>36</v>
      </c>
      <c r="M50" s="233" t="s">
        <v>28</v>
      </c>
      <c r="N50" s="215">
        <v>200</v>
      </c>
      <c r="O50" s="215">
        <v>200</v>
      </c>
      <c r="P50" s="215">
        <v>0</v>
      </c>
      <c r="Q50" s="215">
        <v>0</v>
      </c>
      <c r="R50" s="215">
        <v>0</v>
      </c>
    </row>
    <row r="51" spans="1:18" s="62" customFormat="1" ht="46.5" customHeight="1">
      <c r="A51" s="257" t="s">
        <v>1063</v>
      </c>
      <c r="B51" s="428"/>
      <c r="C51" s="231"/>
      <c r="D51" s="231"/>
      <c r="E51" s="231"/>
      <c r="F51" s="231"/>
      <c r="G51" s="231"/>
      <c r="H51" s="231"/>
      <c r="I51" s="1083"/>
      <c r="J51" s="1083"/>
      <c r="K51" s="575"/>
      <c r="L51" s="233" t="s">
        <v>36</v>
      </c>
      <c r="M51" s="233" t="s">
        <v>28</v>
      </c>
      <c r="N51" s="215">
        <v>0</v>
      </c>
      <c r="O51" s="215">
        <v>0</v>
      </c>
      <c r="P51" s="215">
        <v>1269</v>
      </c>
      <c r="Q51" s="215">
        <v>0</v>
      </c>
      <c r="R51" s="215">
        <v>0</v>
      </c>
    </row>
    <row r="52" spans="1:18" s="62" customFormat="1" ht="60">
      <c r="A52" s="593" t="s">
        <v>1059</v>
      </c>
      <c r="B52" s="428"/>
      <c r="C52" s="231"/>
      <c r="D52" s="231"/>
      <c r="E52" s="231"/>
      <c r="F52" s="231"/>
      <c r="G52" s="231"/>
      <c r="H52" s="231"/>
      <c r="I52" s="1083" t="s">
        <v>1525</v>
      </c>
      <c r="J52" s="1083" t="s">
        <v>947</v>
      </c>
      <c r="K52" s="231" t="s">
        <v>731</v>
      </c>
      <c r="L52" s="233"/>
      <c r="M52" s="233"/>
      <c r="N52" s="215"/>
      <c r="O52" s="215"/>
      <c r="P52" s="215"/>
      <c r="Q52" s="215"/>
      <c r="R52" s="215"/>
    </row>
    <row r="53" spans="1:18" s="62" customFormat="1" ht="48.75" customHeight="1">
      <c r="A53" s="428" t="s">
        <v>1060</v>
      </c>
      <c r="B53" s="428"/>
      <c r="C53" s="231"/>
      <c r="D53" s="231"/>
      <c r="E53" s="231"/>
      <c r="F53" s="231"/>
      <c r="G53" s="231"/>
      <c r="H53" s="231"/>
      <c r="I53" s="575"/>
      <c r="J53" s="1083"/>
      <c r="K53" s="575"/>
      <c r="L53" s="233"/>
      <c r="M53" s="233"/>
      <c r="N53" s="215"/>
      <c r="O53" s="215"/>
      <c r="P53" s="215"/>
      <c r="Q53" s="215"/>
      <c r="R53" s="215"/>
    </row>
    <row r="54" spans="1:18" s="62" customFormat="1" ht="36" customHeight="1">
      <c r="A54" s="228" t="s">
        <v>1064</v>
      </c>
      <c r="B54" s="428"/>
      <c r="C54" s="231"/>
      <c r="D54" s="231"/>
      <c r="E54" s="231"/>
      <c r="F54" s="231"/>
      <c r="G54" s="231"/>
      <c r="H54" s="231"/>
      <c r="I54" s="575"/>
      <c r="J54" s="1083"/>
      <c r="K54" s="575"/>
      <c r="L54" s="233" t="s">
        <v>36</v>
      </c>
      <c r="M54" s="233" t="s">
        <v>28</v>
      </c>
      <c r="N54" s="215">
        <v>2129.4520000000002</v>
      </c>
      <c r="O54" s="215">
        <v>2129.4520000000002</v>
      </c>
      <c r="P54" s="215">
        <v>2185.6999999999998</v>
      </c>
      <c r="Q54" s="215">
        <v>0</v>
      </c>
      <c r="R54" s="215">
        <v>600</v>
      </c>
    </row>
    <row r="55" spans="1:18" s="62" customFormat="1" ht="74.25" customHeight="1">
      <c r="A55" s="594" t="s">
        <v>1061</v>
      </c>
      <c r="B55" s="240"/>
      <c r="C55" s="1042"/>
      <c r="D55" s="1042"/>
      <c r="E55" s="1042"/>
      <c r="F55" s="1042"/>
      <c r="G55" s="1042"/>
      <c r="H55" s="1042"/>
      <c r="I55" s="1083" t="s">
        <v>1521</v>
      </c>
      <c r="J55" s="1083" t="s">
        <v>54</v>
      </c>
      <c r="K55" s="1083" t="s">
        <v>731</v>
      </c>
      <c r="L55" s="240"/>
      <c r="M55" s="240"/>
      <c r="N55" s="239"/>
      <c r="O55" s="215"/>
      <c r="P55" s="239"/>
      <c r="Q55" s="239"/>
      <c r="R55" s="239"/>
    </row>
    <row r="56" spans="1:18" s="62" customFormat="1" ht="192">
      <c r="A56" s="261" t="s">
        <v>1065</v>
      </c>
      <c r="B56" s="240"/>
      <c r="C56" s="1042"/>
      <c r="D56" s="1042"/>
      <c r="E56" s="1042"/>
      <c r="F56" s="1361" t="s">
        <v>715</v>
      </c>
      <c r="G56" s="1042" t="s">
        <v>68</v>
      </c>
      <c r="H56" s="1042" t="s">
        <v>394</v>
      </c>
      <c r="I56" s="1042" t="s">
        <v>1523</v>
      </c>
      <c r="J56" s="231" t="s">
        <v>54</v>
      </c>
      <c r="K56" s="1083" t="s">
        <v>769</v>
      </c>
      <c r="L56" s="240" t="s">
        <v>36</v>
      </c>
      <c r="M56" s="240" t="s">
        <v>28</v>
      </c>
      <c r="N56" s="239">
        <v>248.68</v>
      </c>
      <c r="O56" s="215">
        <v>248.68</v>
      </c>
      <c r="P56" s="239">
        <v>216</v>
      </c>
      <c r="Q56" s="239">
        <v>0</v>
      </c>
      <c r="R56" s="239">
        <v>216</v>
      </c>
    </row>
    <row r="57" spans="1:18" s="62" customFormat="1" ht="36" customHeight="1">
      <c r="A57" s="261"/>
      <c r="B57" s="240" t="s">
        <v>290</v>
      </c>
      <c r="C57" s="1042"/>
      <c r="D57" s="1042"/>
      <c r="E57" s="1042"/>
      <c r="F57" s="1361"/>
      <c r="G57" s="1042"/>
      <c r="H57" s="1042"/>
      <c r="I57" s="875" t="s">
        <v>70</v>
      </c>
      <c r="J57" s="1109" t="s">
        <v>54</v>
      </c>
      <c r="K57" s="1109" t="s">
        <v>57</v>
      </c>
      <c r="L57" s="240" t="s">
        <v>36</v>
      </c>
      <c r="M57" s="240" t="s">
        <v>28</v>
      </c>
      <c r="N57" s="239">
        <v>53813.5</v>
      </c>
      <c r="O57" s="215">
        <v>53813.5</v>
      </c>
      <c r="P57" s="239">
        <v>48233</v>
      </c>
      <c r="Q57" s="239">
        <v>0</v>
      </c>
      <c r="R57" s="239">
        <v>0</v>
      </c>
    </row>
    <row r="58" spans="1:18" s="62" customFormat="1" ht="84">
      <c r="A58" s="795" t="s">
        <v>1066</v>
      </c>
      <c r="B58" s="240"/>
      <c r="C58" s="281" t="s">
        <v>306</v>
      </c>
      <c r="D58" s="281" t="s">
        <v>300</v>
      </c>
      <c r="E58" s="281" t="s">
        <v>47</v>
      </c>
      <c r="F58" s="281" t="s">
        <v>304</v>
      </c>
      <c r="G58" s="281" t="s">
        <v>285</v>
      </c>
      <c r="H58" s="281" t="s">
        <v>190</v>
      </c>
      <c r="I58" s="1042" t="s">
        <v>286</v>
      </c>
      <c r="J58" s="1042" t="s">
        <v>54</v>
      </c>
      <c r="K58" s="1048" t="s">
        <v>93</v>
      </c>
      <c r="L58" s="240" t="s">
        <v>36</v>
      </c>
      <c r="M58" s="240" t="s">
        <v>28</v>
      </c>
      <c r="N58" s="239">
        <f>97922.82+1353.796</f>
        <v>99276.616000000009</v>
      </c>
      <c r="O58" s="215">
        <f>97922.82+1353.795</f>
        <v>99276.615000000005</v>
      </c>
      <c r="P58" s="239">
        <v>108688.7</v>
      </c>
      <c r="Q58" s="239">
        <v>107885.4</v>
      </c>
      <c r="R58" s="239">
        <v>108445</v>
      </c>
    </row>
    <row r="59" spans="1:18" s="62" customFormat="1" ht="75" customHeight="1">
      <c r="A59" s="795" t="s">
        <v>1411</v>
      </c>
      <c r="B59" s="240"/>
      <c r="C59" s="1042"/>
      <c r="D59" s="1042"/>
      <c r="E59" s="1042"/>
      <c r="F59" s="875"/>
      <c r="G59" s="1042"/>
      <c r="H59" s="1042"/>
      <c r="I59" s="1042" t="s">
        <v>805</v>
      </c>
      <c r="J59" s="1042" t="s">
        <v>54</v>
      </c>
      <c r="K59" s="1048" t="s">
        <v>760</v>
      </c>
      <c r="L59" s="240" t="s">
        <v>36</v>
      </c>
      <c r="M59" s="240" t="s">
        <v>31</v>
      </c>
      <c r="N59" s="239">
        <v>16292.444</v>
      </c>
      <c r="O59" s="215">
        <v>16264.317999999999</v>
      </c>
      <c r="P59" s="239">
        <v>17632.5</v>
      </c>
      <c r="Q59" s="239">
        <v>17959.3</v>
      </c>
      <c r="R59" s="239">
        <v>18134.900000000001</v>
      </c>
    </row>
    <row r="60" spans="1:18" s="62" customFormat="1" ht="182.25" customHeight="1">
      <c r="A60" s="795" t="s">
        <v>1412</v>
      </c>
      <c r="B60" s="1013" t="s">
        <v>834</v>
      </c>
      <c r="C60" s="868" t="s">
        <v>305</v>
      </c>
      <c r="D60" s="868" t="s">
        <v>852</v>
      </c>
      <c r="E60" s="868" t="s">
        <v>393</v>
      </c>
      <c r="F60" s="868" t="s">
        <v>733</v>
      </c>
      <c r="G60" s="429" t="s">
        <v>736</v>
      </c>
      <c r="H60" s="868" t="s">
        <v>615</v>
      </c>
      <c r="I60" s="1053" t="s">
        <v>890</v>
      </c>
      <c r="J60" s="1084" t="s">
        <v>54</v>
      </c>
      <c r="K60" s="1084" t="s">
        <v>851</v>
      </c>
      <c r="L60" s="1013" t="s">
        <v>36</v>
      </c>
      <c r="M60" s="1013" t="s">
        <v>28</v>
      </c>
      <c r="N60" s="239">
        <v>635.28200000000004</v>
      </c>
      <c r="O60" s="215">
        <v>584.72400000000005</v>
      </c>
      <c r="P60" s="743">
        <v>611.70000000000005</v>
      </c>
      <c r="Q60" s="743">
        <v>611.70000000000005</v>
      </c>
      <c r="R60" s="743">
        <v>611.70000000000005</v>
      </c>
    </row>
    <row r="61" spans="1:18" s="62" customFormat="1" ht="24.75" hidden="1" customHeight="1">
      <c r="A61" s="428" t="s">
        <v>981</v>
      </c>
      <c r="B61" s="240"/>
      <c r="C61" s="1084"/>
      <c r="D61" s="1084"/>
      <c r="E61" s="1084"/>
      <c r="F61" s="1297" t="s">
        <v>391</v>
      </c>
      <c r="G61" s="1299" t="s">
        <v>530</v>
      </c>
      <c r="H61" s="1299" t="s">
        <v>392</v>
      </c>
      <c r="I61" s="1084"/>
      <c r="J61" s="1084"/>
      <c r="K61" s="1084"/>
      <c r="L61" s="240"/>
      <c r="M61" s="240"/>
      <c r="N61" s="239"/>
      <c r="O61" s="215"/>
      <c r="P61" s="239"/>
      <c r="Q61" s="239"/>
      <c r="R61" s="239"/>
    </row>
    <row r="62" spans="1:18" s="62" customFormat="1" ht="108" hidden="1">
      <c r="A62" s="428"/>
      <c r="B62" s="282" t="s">
        <v>383</v>
      </c>
      <c r="C62" s="1085"/>
      <c r="D62" s="1085"/>
      <c r="E62" s="1085"/>
      <c r="F62" s="1298"/>
      <c r="G62" s="1300"/>
      <c r="H62" s="1300"/>
      <c r="I62" s="1085" t="s">
        <v>800</v>
      </c>
      <c r="J62" s="1085" t="s">
        <v>54</v>
      </c>
      <c r="K62" s="1085" t="s">
        <v>801</v>
      </c>
      <c r="L62" s="282" t="s">
        <v>36</v>
      </c>
      <c r="M62" s="282" t="s">
        <v>28</v>
      </c>
      <c r="N62" s="217">
        <v>0</v>
      </c>
      <c r="O62" s="551"/>
      <c r="P62" s="217">
        <v>0</v>
      </c>
      <c r="Q62" s="217">
        <v>0</v>
      </c>
      <c r="R62" s="217">
        <v>0</v>
      </c>
    </row>
    <row r="63" spans="1:18" s="62" customFormat="1" ht="144.75" customHeight="1">
      <c r="A63" s="101" t="s">
        <v>690</v>
      </c>
      <c r="B63" s="82" t="s">
        <v>326</v>
      </c>
      <c r="C63" s="102"/>
      <c r="D63" s="102"/>
      <c r="E63" s="102"/>
      <c r="F63" s="102"/>
      <c r="G63" s="102"/>
      <c r="H63" s="103"/>
      <c r="I63" s="102"/>
      <c r="J63" s="102"/>
      <c r="K63" s="103"/>
      <c r="L63" s="82"/>
      <c r="M63" s="82"/>
      <c r="N63" s="105">
        <f>SUM(N64:N109)</f>
        <v>184551.78300000005</v>
      </c>
      <c r="O63" s="105">
        <f t="shared" ref="O63:R63" si="5">SUM(O64:O109)</f>
        <v>172785.92800000001</v>
      </c>
      <c r="P63" s="105">
        <f t="shared" si="5"/>
        <v>97242.991999999998</v>
      </c>
      <c r="Q63" s="105">
        <f t="shared" si="5"/>
        <v>92194.905999999988</v>
      </c>
      <c r="R63" s="105">
        <f t="shared" si="5"/>
        <v>74823.557000000001</v>
      </c>
    </row>
    <row r="64" spans="1:18" s="62" customFormat="1" ht="12" customHeight="1">
      <c r="A64" s="595" t="s">
        <v>982</v>
      </c>
      <c r="B64" s="437"/>
      <c r="C64" s="1228" t="s">
        <v>306</v>
      </c>
      <c r="D64" s="1228" t="s">
        <v>279</v>
      </c>
      <c r="E64" s="1228" t="s">
        <v>47</v>
      </c>
      <c r="F64" s="1228" t="s">
        <v>304</v>
      </c>
      <c r="G64" s="1234" t="s">
        <v>280</v>
      </c>
      <c r="H64" s="1234" t="s">
        <v>190</v>
      </c>
      <c r="I64" s="596"/>
      <c r="J64" s="1049"/>
      <c r="K64" s="596"/>
      <c r="L64" s="438"/>
      <c r="M64" s="438"/>
      <c r="N64" s="447"/>
      <c r="O64" s="552"/>
      <c r="P64" s="447"/>
      <c r="Q64" s="447"/>
      <c r="R64" s="447"/>
    </row>
    <row r="65" spans="1:18" s="62" customFormat="1" ht="36.75" customHeight="1">
      <c r="A65" s="583" t="s">
        <v>1067</v>
      </c>
      <c r="B65" s="228"/>
      <c r="C65" s="1198"/>
      <c r="D65" s="1198"/>
      <c r="E65" s="1198"/>
      <c r="F65" s="1198"/>
      <c r="G65" s="1198"/>
      <c r="H65" s="1198"/>
      <c r="I65" s="1198" t="s">
        <v>1525</v>
      </c>
      <c r="J65" s="1027" t="s">
        <v>955</v>
      </c>
      <c r="K65" s="597" t="s">
        <v>731</v>
      </c>
      <c r="L65" s="229"/>
      <c r="M65" s="229"/>
      <c r="N65" s="216"/>
      <c r="O65" s="216"/>
      <c r="P65" s="216"/>
      <c r="Q65" s="216"/>
      <c r="R65" s="216"/>
    </row>
    <row r="66" spans="1:18" s="62" customFormat="1" ht="36">
      <c r="A66" s="228" t="s">
        <v>1069</v>
      </c>
      <c r="B66" s="228"/>
      <c r="C66" s="1027"/>
      <c r="D66" s="1027"/>
      <c r="E66" s="1027"/>
      <c r="F66" s="1027"/>
      <c r="G66" s="1027"/>
      <c r="H66" s="1027"/>
      <c r="I66" s="1198"/>
      <c r="J66" s="1027"/>
      <c r="K66" s="1080"/>
      <c r="L66" s="229" t="s">
        <v>36</v>
      </c>
      <c r="M66" s="229" t="s">
        <v>31</v>
      </c>
      <c r="N66" s="216">
        <v>50</v>
      </c>
      <c r="O66" s="216">
        <v>50</v>
      </c>
      <c r="P66" s="216">
        <v>50</v>
      </c>
      <c r="Q66" s="216">
        <v>50</v>
      </c>
      <c r="R66" s="216">
        <v>50</v>
      </c>
    </row>
    <row r="67" spans="1:18" s="62" customFormat="1" ht="48.75" customHeight="1">
      <c r="A67" s="257" t="s">
        <v>1068</v>
      </c>
      <c r="B67" s="228"/>
      <c r="C67" s="1027"/>
      <c r="D67" s="1027"/>
      <c r="E67" s="1027"/>
      <c r="F67" s="1027"/>
      <c r="G67" s="1027"/>
      <c r="H67" s="1027"/>
      <c r="I67" s="1080"/>
      <c r="J67" s="1027"/>
      <c r="K67" s="1080"/>
      <c r="L67" s="229" t="s">
        <v>36</v>
      </c>
      <c r="M67" s="229" t="s">
        <v>31</v>
      </c>
      <c r="N67" s="216">
        <v>876</v>
      </c>
      <c r="O67" s="216">
        <v>875.99900000000002</v>
      </c>
      <c r="P67" s="216">
        <v>0</v>
      </c>
      <c r="Q67" s="216">
        <v>0</v>
      </c>
      <c r="R67" s="216">
        <v>0</v>
      </c>
    </row>
    <row r="68" spans="1:18" s="62" customFormat="1" ht="72.75" customHeight="1">
      <c r="A68" s="594" t="s">
        <v>1070</v>
      </c>
      <c r="B68" s="228"/>
      <c r="C68" s="1027"/>
      <c r="D68" s="1027"/>
      <c r="E68" s="1027"/>
      <c r="F68" s="1027"/>
      <c r="G68" s="1027"/>
      <c r="H68" s="1027"/>
      <c r="I68" s="1027" t="s">
        <v>1521</v>
      </c>
      <c r="J68" s="1027" t="s">
        <v>54</v>
      </c>
      <c r="K68" s="1027" t="s">
        <v>731</v>
      </c>
      <c r="L68" s="229"/>
      <c r="M68" s="229"/>
      <c r="N68" s="216"/>
      <c r="O68" s="216"/>
      <c r="P68" s="216"/>
      <c r="Q68" s="216"/>
      <c r="R68" s="216"/>
    </row>
    <row r="69" spans="1:18" s="62" customFormat="1" ht="120.75" customHeight="1">
      <c r="A69" s="1047" t="s">
        <v>1071</v>
      </c>
      <c r="B69" s="229" t="s">
        <v>374</v>
      </c>
      <c r="C69" s="1027" t="s">
        <v>305</v>
      </c>
      <c r="D69" s="1027" t="s">
        <v>293</v>
      </c>
      <c r="E69" s="1027" t="s">
        <v>282</v>
      </c>
      <c r="F69" s="1027" t="s">
        <v>518</v>
      </c>
      <c r="G69" s="1027" t="s">
        <v>56</v>
      </c>
      <c r="H69" s="1027" t="s">
        <v>519</v>
      </c>
      <c r="I69" s="1027" t="s">
        <v>1522</v>
      </c>
      <c r="J69" s="1027" t="s">
        <v>54</v>
      </c>
      <c r="K69" s="1034" t="s">
        <v>785</v>
      </c>
      <c r="L69" s="229" t="s">
        <v>36</v>
      </c>
      <c r="M69" s="229" t="s">
        <v>31</v>
      </c>
      <c r="N69" s="216">
        <v>847.8</v>
      </c>
      <c r="O69" s="216">
        <v>847.8</v>
      </c>
      <c r="P69" s="216">
        <v>832.7</v>
      </c>
      <c r="Q69" s="216">
        <v>832.7</v>
      </c>
      <c r="R69" s="216">
        <v>832.7</v>
      </c>
    </row>
    <row r="70" spans="1:18" s="62" customFormat="1" ht="24" customHeight="1">
      <c r="A70" s="1047"/>
      <c r="B70" s="229" t="s">
        <v>772</v>
      </c>
      <c r="C70" s="1027"/>
      <c r="D70" s="1027"/>
      <c r="E70" s="1027"/>
      <c r="F70" s="1242" t="s">
        <v>733</v>
      </c>
      <c r="G70" s="1347" t="s">
        <v>856</v>
      </c>
      <c r="H70" s="1242" t="s">
        <v>826</v>
      </c>
      <c r="I70" s="1213"/>
      <c r="J70" s="1038"/>
      <c r="K70" s="1038"/>
      <c r="L70" s="229" t="s">
        <v>36</v>
      </c>
      <c r="M70" s="229" t="s">
        <v>31</v>
      </c>
      <c r="N70" s="216">
        <v>8858</v>
      </c>
      <c r="O70" s="216">
        <v>3794.9609999999998</v>
      </c>
      <c r="P70" s="216">
        <v>0</v>
      </c>
      <c r="Q70" s="216">
        <v>0</v>
      </c>
      <c r="R70" s="216">
        <v>0</v>
      </c>
    </row>
    <row r="71" spans="1:18" s="62" customFormat="1" ht="12">
      <c r="A71" s="1047"/>
      <c r="B71" s="229"/>
      <c r="C71" s="1027"/>
      <c r="D71" s="1027"/>
      <c r="E71" s="1027"/>
      <c r="F71" s="1242"/>
      <c r="G71" s="1347"/>
      <c r="H71" s="1242"/>
      <c r="I71" s="1213"/>
      <c r="J71" s="1038"/>
      <c r="K71" s="1038"/>
      <c r="L71" s="229" t="s">
        <v>36</v>
      </c>
      <c r="M71" s="229" t="s">
        <v>31</v>
      </c>
      <c r="N71" s="216">
        <v>421.66199999999998</v>
      </c>
      <c r="O71" s="216">
        <v>421.66199999999998</v>
      </c>
      <c r="P71" s="216"/>
      <c r="Q71" s="216"/>
      <c r="R71" s="216"/>
    </row>
    <row r="72" spans="1:18" s="62" customFormat="1" ht="58.5" customHeight="1">
      <c r="A72" s="1047"/>
      <c r="B72" s="229" t="s">
        <v>935</v>
      </c>
      <c r="C72" s="1027"/>
      <c r="D72" s="1027"/>
      <c r="E72" s="1027"/>
      <c r="F72" s="1242"/>
      <c r="G72" s="1347"/>
      <c r="H72" s="1242"/>
      <c r="I72" s="1038" t="s">
        <v>944</v>
      </c>
      <c r="J72" s="1038" t="s">
        <v>54</v>
      </c>
      <c r="K72" s="1038" t="s">
        <v>945</v>
      </c>
      <c r="L72" s="229" t="s">
        <v>36</v>
      </c>
      <c r="M72" s="229" t="s">
        <v>31</v>
      </c>
      <c r="N72" s="216">
        <v>761.11599999999999</v>
      </c>
      <c r="O72" s="216">
        <v>760.62699999999995</v>
      </c>
      <c r="P72" s="216">
        <v>2973.2</v>
      </c>
      <c r="Q72" s="216">
        <v>2973.2</v>
      </c>
      <c r="R72" s="216">
        <v>2973.2</v>
      </c>
    </row>
    <row r="73" spans="1:18" s="62" customFormat="1" ht="24" customHeight="1">
      <c r="A73" s="1227"/>
      <c r="B73" s="229" t="s">
        <v>774</v>
      </c>
      <c r="C73" s="1027"/>
      <c r="D73" s="1027"/>
      <c r="E73" s="1027"/>
      <c r="F73" s="1301" t="s">
        <v>733</v>
      </c>
      <c r="G73" s="1206" t="s">
        <v>857</v>
      </c>
      <c r="H73" s="1027"/>
      <c r="I73" s="1038"/>
      <c r="J73" s="1038"/>
      <c r="K73" s="1038"/>
      <c r="L73" s="229" t="s">
        <v>36</v>
      </c>
      <c r="M73" s="229" t="s">
        <v>31</v>
      </c>
      <c r="N73" s="216">
        <v>6656.6</v>
      </c>
      <c r="O73" s="216">
        <v>6656.6</v>
      </c>
      <c r="P73" s="216">
        <v>0</v>
      </c>
      <c r="Q73" s="216">
        <v>16851.18</v>
      </c>
      <c r="R73" s="216">
        <v>0</v>
      </c>
    </row>
    <row r="74" spans="1:18" s="62" customFormat="1" ht="24" customHeight="1">
      <c r="A74" s="1227"/>
      <c r="B74" s="229"/>
      <c r="C74" s="1027"/>
      <c r="D74" s="1027"/>
      <c r="E74" s="1027"/>
      <c r="F74" s="1301"/>
      <c r="G74" s="1206"/>
      <c r="H74" s="1027"/>
      <c r="I74" s="1038"/>
      <c r="J74" s="1038"/>
      <c r="K74" s="1038"/>
      <c r="L74" s="229" t="s">
        <v>36</v>
      </c>
      <c r="M74" s="229" t="s">
        <v>31</v>
      </c>
      <c r="N74" s="216">
        <f>7.659</f>
        <v>7.6589999999999998</v>
      </c>
      <c r="O74" s="216">
        <v>7.6589999999999998</v>
      </c>
      <c r="P74" s="216">
        <v>0</v>
      </c>
      <c r="Q74" s="216">
        <v>9.8000000000000007</v>
      </c>
      <c r="R74" s="216">
        <v>0</v>
      </c>
    </row>
    <row r="75" spans="1:18" s="62" customFormat="1" ht="24">
      <c r="A75" s="1227"/>
      <c r="B75" s="229" t="s">
        <v>775</v>
      </c>
      <c r="C75" s="1027"/>
      <c r="D75" s="1027"/>
      <c r="E75" s="1027"/>
      <c r="F75" s="1301"/>
      <c r="G75" s="1206"/>
      <c r="H75" s="1027"/>
      <c r="I75" s="1038"/>
      <c r="J75" s="1038"/>
      <c r="K75" s="1038"/>
      <c r="L75" s="229" t="s">
        <v>36</v>
      </c>
      <c r="M75" s="229" t="s">
        <v>31</v>
      </c>
      <c r="N75" s="216">
        <v>994.66399999999999</v>
      </c>
      <c r="O75" s="216">
        <v>994.66399999999999</v>
      </c>
      <c r="P75" s="216">
        <v>0</v>
      </c>
      <c r="Q75" s="216">
        <v>2157.9699999999998</v>
      </c>
      <c r="R75" s="216">
        <v>0</v>
      </c>
    </row>
    <row r="76" spans="1:18" s="62" customFormat="1" ht="155.25" customHeight="1">
      <c r="A76" s="1066"/>
      <c r="B76" s="760" t="s">
        <v>632</v>
      </c>
      <c r="C76" s="1054"/>
      <c r="D76" s="1054"/>
      <c r="E76" s="1054"/>
      <c r="F76" s="1302"/>
      <c r="G76" s="1096"/>
      <c r="H76" s="1054"/>
      <c r="I76" s="1027" t="s">
        <v>1473</v>
      </c>
      <c r="J76" s="1027" t="s">
        <v>54</v>
      </c>
      <c r="K76" s="1034" t="s">
        <v>1474</v>
      </c>
      <c r="L76" s="229" t="s">
        <v>36</v>
      </c>
      <c r="M76" s="229" t="s">
        <v>31</v>
      </c>
      <c r="N76" s="216">
        <v>20531.457999999999</v>
      </c>
      <c r="O76" s="216">
        <v>20396.063999999998</v>
      </c>
      <c r="P76" s="761">
        <v>19951.8</v>
      </c>
      <c r="Q76" s="761">
        <v>19946.599999999999</v>
      </c>
      <c r="R76" s="761">
        <v>19946.599999999999</v>
      </c>
    </row>
    <row r="77" spans="1:18" s="62" customFormat="1" ht="144">
      <c r="A77" s="1066"/>
      <c r="B77" s="760" t="s">
        <v>1414</v>
      </c>
      <c r="C77" s="1027" t="s">
        <v>305</v>
      </c>
      <c r="D77" s="1027" t="s">
        <v>291</v>
      </c>
      <c r="E77" s="1027" t="s">
        <v>282</v>
      </c>
      <c r="F77" s="1302"/>
      <c r="G77" s="1096"/>
      <c r="H77" s="1054"/>
      <c r="I77" s="1027" t="s">
        <v>889</v>
      </c>
      <c r="J77" s="1027" t="s">
        <v>54</v>
      </c>
      <c r="K77" s="1034" t="s">
        <v>769</v>
      </c>
      <c r="L77" s="229" t="s">
        <v>36</v>
      </c>
      <c r="M77" s="229" t="s">
        <v>31</v>
      </c>
      <c r="N77" s="216">
        <v>695.29300000000001</v>
      </c>
      <c r="O77" s="216">
        <v>674.43600000000004</v>
      </c>
      <c r="P77" s="761">
        <v>909.15</v>
      </c>
      <c r="Q77" s="761">
        <v>909.15</v>
      </c>
      <c r="R77" s="761">
        <v>909.15</v>
      </c>
    </row>
    <row r="78" spans="1:18" s="62" customFormat="1" ht="24">
      <c r="A78" s="228" t="s">
        <v>1072</v>
      </c>
      <c r="B78" s="439"/>
      <c r="C78" s="1027"/>
      <c r="D78" s="1027"/>
      <c r="E78" s="1027"/>
      <c r="F78" s="1301"/>
      <c r="G78" s="1198" t="s">
        <v>858</v>
      </c>
      <c r="H78" s="1198" t="s">
        <v>826</v>
      </c>
      <c r="I78" s="1198" t="s">
        <v>802</v>
      </c>
      <c r="J78" s="1198" t="s">
        <v>54</v>
      </c>
      <c r="K78" s="1198" t="s">
        <v>765</v>
      </c>
      <c r="L78" s="229" t="s">
        <v>36</v>
      </c>
      <c r="M78" s="229" t="s">
        <v>31</v>
      </c>
      <c r="N78" s="216">
        <v>2057.8159999999998</v>
      </c>
      <c r="O78" s="216">
        <v>2057.8159999999998</v>
      </c>
      <c r="P78" s="216">
        <v>0</v>
      </c>
      <c r="Q78" s="216">
        <v>0</v>
      </c>
      <c r="R78" s="216">
        <v>0</v>
      </c>
    </row>
    <row r="79" spans="1:18" s="62" customFormat="1" ht="12">
      <c r="A79" s="228"/>
      <c r="B79" s="439"/>
      <c r="C79" s="1027"/>
      <c r="D79" s="1027"/>
      <c r="E79" s="1027"/>
      <c r="F79" s="1301"/>
      <c r="G79" s="1198"/>
      <c r="H79" s="1198"/>
      <c r="I79" s="1198"/>
      <c r="J79" s="1198"/>
      <c r="K79" s="1198"/>
      <c r="L79" s="229" t="s">
        <v>36</v>
      </c>
      <c r="M79" s="229" t="s">
        <v>31</v>
      </c>
      <c r="N79" s="216">
        <f>30.301+35.493</f>
        <v>65.793999999999997</v>
      </c>
      <c r="O79" s="216">
        <f>30.301+35.493</f>
        <v>65.793999999999997</v>
      </c>
      <c r="P79" s="216">
        <v>0</v>
      </c>
      <c r="Q79" s="216">
        <v>0</v>
      </c>
      <c r="R79" s="216">
        <v>0</v>
      </c>
    </row>
    <row r="80" spans="1:18" s="62" customFormat="1" ht="24">
      <c r="A80" s="228"/>
      <c r="B80" s="229" t="s">
        <v>762</v>
      </c>
      <c r="C80" s="1027"/>
      <c r="D80" s="1027"/>
      <c r="E80" s="1027"/>
      <c r="F80" s="1301"/>
      <c r="G80" s="1198"/>
      <c r="H80" s="1198"/>
      <c r="I80" s="1198"/>
      <c r="J80" s="1198"/>
      <c r="K80" s="1198"/>
      <c r="L80" s="229" t="s">
        <v>36</v>
      </c>
      <c r="M80" s="229" t="s">
        <v>31</v>
      </c>
      <c r="N80" s="216">
        <v>26335.5</v>
      </c>
      <c r="O80" s="216">
        <v>26335.5</v>
      </c>
      <c r="P80" s="216">
        <v>0</v>
      </c>
      <c r="Q80" s="216">
        <v>0</v>
      </c>
      <c r="R80" s="216">
        <v>0</v>
      </c>
    </row>
    <row r="81" spans="1:18" s="62" customFormat="1" ht="24">
      <c r="A81" s="228"/>
      <c r="B81" s="229" t="s">
        <v>763</v>
      </c>
      <c r="C81" s="1027"/>
      <c r="D81" s="1027"/>
      <c r="E81" s="1027"/>
      <c r="F81" s="1301"/>
      <c r="G81" s="1198"/>
      <c r="H81" s="1198"/>
      <c r="I81" s="1198"/>
      <c r="J81" s="1198"/>
      <c r="K81" s="1198"/>
      <c r="L81" s="229" t="s">
        <v>36</v>
      </c>
      <c r="M81" s="229" t="s">
        <v>31</v>
      </c>
      <c r="N81" s="216">
        <v>3935.19</v>
      </c>
      <c r="O81" s="216">
        <v>3935.19</v>
      </c>
      <c r="P81" s="216">
        <v>0</v>
      </c>
      <c r="Q81" s="216">
        <v>0</v>
      </c>
      <c r="R81" s="216">
        <v>0</v>
      </c>
    </row>
    <row r="82" spans="1:18" s="62" customFormat="1" ht="24">
      <c r="A82" s="1047"/>
      <c r="B82" s="229" t="s">
        <v>761</v>
      </c>
      <c r="C82" s="1027"/>
      <c r="D82" s="1027"/>
      <c r="E82" s="1027"/>
      <c r="F82" s="1301"/>
      <c r="G82" s="1198"/>
      <c r="H82" s="1198"/>
      <c r="I82" s="1198"/>
      <c r="J82" s="440"/>
      <c r="K82" s="440"/>
      <c r="L82" s="229" t="s">
        <v>36</v>
      </c>
      <c r="M82" s="229" t="s">
        <v>31</v>
      </c>
      <c r="N82" s="216">
        <v>41153.523999999998</v>
      </c>
      <c r="O82" s="216">
        <v>35457.819000000003</v>
      </c>
      <c r="P82" s="216">
        <v>0</v>
      </c>
      <c r="Q82" s="216">
        <v>0</v>
      </c>
      <c r="R82" s="216">
        <v>0</v>
      </c>
    </row>
    <row r="83" spans="1:18" s="62" customFormat="1" ht="36">
      <c r="A83" s="1047" t="s">
        <v>1073</v>
      </c>
      <c r="B83" s="439"/>
      <c r="C83" s="1027"/>
      <c r="D83" s="1027"/>
      <c r="E83" s="1027"/>
      <c r="F83" s="954"/>
      <c r="G83" s="1034"/>
      <c r="H83" s="1027"/>
      <c r="I83" s="1027"/>
      <c r="J83" s="1027"/>
      <c r="K83" s="1034"/>
      <c r="L83" s="229" t="s">
        <v>36</v>
      </c>
      <c r="M83" s="229" t="s">
        <v>31</v>
      </c>
      <c r="N83" s="216">
        <v>0.19500000000000001</v>
      </c>
      <c r="O83" s="216">
        <v>0.19500000000000001</v>
      </c>
      <c r="P83" s="216">
        <v>866.8</v>
      </c>
      <c r="Q83" s="216">
        <v>595.70000000000005</v>
      </c>
      <c r="R83" s="216">
        <v>866.8</v>
      </c>
    </row>
    <row r="84" spans="1:18" s="62" customFormat="1" ht="169.5" customHeight="1">
      <c r="A84" s="1047"/>
      <c r="B84" s="229" t="s">
        <v>934</v>
      </c>
      <c r="C84" s="1027"/>
      <c r="D84" s="1027"/>
      <c r="E84" s="1027"/>
      <c r="F84" s="954"/>
      <c r="G84" s="1034"/>
      <c r="H84" s="1027"/>
      <c r="I84" s="999" t="s">
        <v>1017</v>
      </c>
      <c r="J84" s="999" t="s">
        <v>54</v>
      </c>
      <c r="K84" s="838" t="s">
        <v>1018</v>
      </c>
      <c r="L84" s="229" t="s">
        <v>36</v>
      </c>
      <c r="M84" s="229" t="s">
        <v>31</v>
      </c>
      <c r="N84" s="216">
        <v>18401.099999999999</v>
      </c>
      <c r="O84" s="216">
        <v>18360.081999999999</v>
      </c>
      <c r="P84" s="216">
        <v>21266.2</v>
      </c>
      <c r="Q84" s="216">
        <v>0</v>
      </c>
      <c r="R84" s="216">
        <v>0</v>
      </c>
    </row>
    <row r="85" spans="1:18" s="62" customFormat="1" ht="47.25" customHeight="1">
      <c r="A85" s="1047"/>
      <c r="B85" s="229" t="s">
        <v>773</v>
      </c>
      <c r="C85" s="1027"/>
      <c r="D85" s="1027"/>
      <c r="E85" s="1027"/>
      <c r="F85" s="1348" t="s">
        <v>733</v>
      </c>
      <c r="G85" s="1404" t="s">
        <v>859</v>
      </c>
      <c r="H85" s="1027"/>
      <c r="I85" s="1027" t="s">
        <v>717</v>
      </c>
      <c r="J85" s="1027" t="s">
        <v>54</v>
      </c>
      <c r="K85" s="1034" t="s">
        <v>423</v>
      </c>
      <c r="L85" s="229" t="s">
        <v>36</v>
      </c>
      <c r="M85" s="229" t="s">
        <v>31</v>
      </c>
      <c r="N85" s="216">
        <v>194.9</v>
      </c>
      <c r="O85" s="216">
        <v>194.9</v>
      </c>
      <c r="P85" s="216">
        <v>0</v>
      </c>
      <c r="Q85" s="216">
        <v>0</v>
      </c>
      <c r="R85" s="216">
        <v>0</v>
      </c>
    </row>
    <row r="86" spans="1:18" s="62" customFormat="1" ht="111" customHeight="1">
      <c r="A86" s="1134"/>
      <c r="B86" s="1403"/>
      <c r="C86" s="1133"/>
      <c r="D86" s="1133"/>
      <c r="E86" s="1133"/>
      <c r="F86" s="1348"/>
      <c r="G86" s="1404"/>
      <c r="H86" s="1133"/>
      <c r="I86" s="873" t="s">
        <v>811</v>
      </c>
      <c r="J86" s="1132" t="s">
        <v>54</v>
      </c>
      <c r="K86" s="1132" t="s">
        <v>560</v>
      </c>
      <c r="L86" s="229" t="s">
        <v>19</v>
      </c>
      <c r="M86" s="229" t="s">
        <v>35</v>
      </c>
      <c r="N86" s="220">
        <v>125</v>
      </c>
      <c r="O86" s="220">
        <v>125</v>
      </c>
      <c r="P86" s="220">
        <v>180</v>
      </c>
      <c r="Q86" s="220">
        <v>0</v>
      </c>
      <c r="R86" s="220">
        <v>180</v>
      </c>
    </row>
    <row r="87" spans="1:18" s="62" customFormat="1" ht="144" customHeight="1">
      <c r="A87" s="228" t="s">
        <v>1074</v>
      </c>
      <c r="B87" s="228"/>
      <c r="C87" s="1027" t="s">
        <v>306</v>
      </c>
      <c r="D87" s="1027" t="s">
        <v>298</v>
      </c>
      <c r="E87" s="1027" t="s">
        <v>47</v>
      </c>
      <c r="F87" s="1027" t="s">
        <v>304</v>
      </c>
      <c r="G87" s="1027" t="s">
        <v>299</v>
      </c>
      <c r="H87" s="1027" t="s">
        <v>190</v>
      </c>
      <c r="I87" s="1027" t="s">
        <v>1467</v>
      </c>
      <c r="J87" s="1027" t="s">
        <v>54</v>
      </c>
      <c r="K87" s="1027" t="s">
        <v>347</v>
      </c>
      <c r="L87" s="229" t="s">
        <v>36</v>
      </c>
      <c r="M87" s="229" t="s">
        <v>31</v>
      </c>
      <c r="N87" s="216">
        <f>29126.583+849.361</f>
        <v>29975.944</v>
      </c>
      <c r="O87" s="216">
        <f>29126.546+849.361</f>
        <v>29975.906999999999</v>
      </c>
      <c r="P87" s="216">
        <f>25869.15+2190.436</f>
        <v>28059.586000000003</v>
      </c>
      <c r="Q87" s="216">
        <v>25726.6</v>
      </c>
      <c r="R87" s="216">
        <v>26462.3</v>
      </c>
    </row>
    <row r="88" spans="1:18" s="62" customFormat="1" ht="84">
      <c r="A88" s="228"/>
      <c r="B88" s="228"/>
      <c r="C88" s="1027"/>
      <c r="D88" s="1027"/>
      <c r="E88" s="1027"/>
      <c r="F88" s="1027"/>
      <c r="G88" s="1027"/>
      <c r="H88" s="1027"/>
      <c r="I88" s="1027" t="s">
        <v>805</v>
      </c>
      <c r="J88" s="1027" t="s">
        <v>54</v>
      </c>
      <c r="K88" s="1027" t="s">
        <v>760</v>
      </c>
      <c r="L88" s="229"/>
      <c r="M88" s="229"/>
      <c r="N88" s="216"/>
      <c r="O88" s="216"/>
      <c r="P88" s="216"/>
      <c r="Q88" s="216"/>
      <c r="R88" s="216"/>
    </row>
    <row r="89" spans="1:18" s="62" customFormat="1" ht="60">
      <c r="A89" s="228"/>
      <c r="B89" s="228"/>
      <c r="C89" s="1027"/>
      <c r="D89" s="1027"/>
      <c r="E89" s="1027"/>
      <c r="F89" s="291"/>
      <c r="G89" s="291"/>
      <c r="H89" s="291"/>
      <c r="I89" s="1038" t="s">
        <v>281</v>
      </c>
      <c r="J89" s="1038" t="s">
        <v>54</v>
      </c>
      <c r="K89" s="1038" t="s">
        <v>287</v>
      </c>
      <c r="L89" s="229"/>
      <c r="M89" s="229"/>
      <c r="N89" s="216"/>
      <c r="O89" s="216"/>
      <c r="P89" s="216"/>
      <c r="Q89" s="216"/>
      <c r="R89" s="216"/>
    </row>
    <row r="90" spans="1:18" s="62" customFormat="1" ht="48">
      <c r="A90" s="228"/>
      <c r="B90" s="228"/>
      <c r="C90" s="1027" t="s">
        <v>305</v>
      </c>
      <c r="D90" s="1027" t="s">
        <v>493</v>
      </c>
      <c r="E90" s="1027" t="s">
        <v>393</v>
      </c>
      <c r="F90" s="291"/>
      <c r="G90" s="291"/>
      <c r="H90" s="291"/>
      <c r="I90" s="1038" t="s">
        <v>385</v>
      </c>
      <c r="J90" s="1038" t="s">
        <v>54</v>
      </c>
      <c r="K90" s="1038" t="s">
        <v>386</v>
      </c>
      <c r="L90" s="1038"/>
      <c r="M90" s="1038"/>
      <c r="N90" s="216"/>
      <c r="O90" s="216"/>
      <c r="P90" s="216"/>
      <c r="Q90" s="216"/>
      <c r="R90" s="216"/>
    </row>
    <row r="91" spans="1:18" s="62" customFormat="1" ht="48" customHeight="1">
      <c r="A91" s="953" t="s">
        <v>1075</v>
      </c>
      <c r="B91" s="229"/>
      <c r="C91" s="1027"/>
      <c r="D91" s="1027"/>
      <c r="E91" s="1027"/>
      <c r="F91" s="1027"/>
      <c r="G91" s="1027"/>
      <c r="H91" s="1027"/>
      <c r="I91" s="1117" t="s">
        <v>718</v>
      </c>
      <c r="J91" s="1027" t="s">
        <v>54</v>
      </c>
      <c r="K91" s="1034" t="s">
        <v>350</v>
      </c>
      <c r="L91" s="229"/>
      <c r="M91" s="229"/>
      <c r="N91" s="216"/>
      <c r="O91" s="216"/>
      <c r="P91" s="216"/>
      <c r="Q91" s="216"/>
      <c r="R91" s="216"/>
    </row>
    <row r="92" spans="1:18" s="62" customFormat="1" ht="48.75" customHeight="1">
      <c r="A92" s="1227"/>
      <c r="B92" s="229"/>
      <c r="C92" s="1027" t="s">
        <v>305</v>
      </c>
      <c r="D92" s="1027" t="s">
        <v>842</v>
      </c>
      <c r="E92" s="1027" t="s">
        <v>393</v>
      </c>
      <c r="F92" s="1198" t="s">
        <v>283</v>
      </c>
      <c r="G92" s="1198" t="s">
        <v>284</v>
      </c>
      <c r="H92" s="1198" t="s">
        <v>267</v>
      </c>
      <c r="I92" s="1198" t="s">
        <v>1019</v>
      </c>
      <c r="J92" s="1198" t="s">
        <v>54</v>
      </c>
      <c r="K92" s="1206" t="s">
        <v>841</v>
      </c>
      <c r="L92" s="229" t="s">
        <v>36</v>
      </c>
      <c r="M92" s="229" t="s">
        <v>31</v>
      </c>
      <c r="N92" s="216">
        <v>3843.8850000000002</v>
      </c>
      <c r="O92" s="216">
        <v>3667.3319999999999</v>
      </c>
      <c r="P92" s="216">
        <v>6546.2</v>
      </c>
      <c r="Q92" s="216">
        <v>6546.2</v>
      </c>
      <c r="R92" s="216">
        <v>6546.2</v>
      </c>
    </row>
    <row r="93" spans="1:18" s="62" customFormat="1" ht="36" customHeight="1">
      <c r="A93" s="1227"/>
      <c r="B93" s="229" t="s">
        <v>1413</v>
      </c>
      <c r="C93" s="1027"/>
      <c r="D93" s="1027"/>
      <c r="E93" s="1027"/>
      <c r="F93" s="1198"/>
      <c r="G93" s="1198"/>
      <c r="H93" s="1198"/>
      <c r="I93" s="1198"/>
      <c r="J93" s="1198"/>
      <c r="K93" s="1206"/>
      <c r="L93" s="229" t="s">
        <v>36</v>
      </c>
      <c r="M93" s="229" t="s">
        <v>31</v>
      </c>
      <c r="N93" s="216">
        <v>4644.3389999999999</v>
      </c>
      <c r="O93" s="216">
        <v>4627.8</v>
      </c>
      <c r="P93" s="761">
        <v>2993.4</v>
      </c>
      <c r="Q93" s="761">
        <v>2993.4</v>
      </c>
      <c r="R93" s="761">
        <v>2993.4</v>
      </c>
    </row>
    <row r="94" spans="1:18" s="62" customFormat="1" ht="180.75" customHeight="1">
      <c r="A94" s="1047"/>
      <c r="B94" s="229" t="s">
        <v>834</v>
      </c>
      <c r="C94" s="1027"/>
      <c r="D94" s="1027"/>
      <c r="E94" s="1027"/>
      <c r="F94" s="1027" t="s">
        <v>733</v>
      </c>
      <c r="G94" s="1034" t="s">
        <v>736</v>
      </c>
      <c r="H94" s="1027" t="s">
        <v>615</v>
      </c>
      <c r="I94" s="1038" t="s">
        <v>1020</v>
      </c>
      <c r="J94" s="1038" t="s">
        <v>54</v>
      </c>
      <c r="K94" s="1038" t="s">
        <v>851</v>
      </c>
      <c r="L94" s="229" t="s">
        <v>36</v>
      </c>
      <c r="M94" s="229" t="s">
        <v>31</v>
      </c>
      <c r="N94" s="216">
        <v>8897.8089999999993</v>
      </c>
      <c r="O94" s="216">
        <v>8281.5859999999993</v>
      </c>
      <c r="P94" s="761">
        <v>10650.55</v>
      </c>
      <c r="Q94" s="761">
        <v>10639</v>
      </c>
      <c r="R94" s="761">
        <v>10662.5</v>
      </c>
    </row>
    <row r="95" spans="1:18" s="62" customFormat="1" ht="42.75" hidden="1" customHeight="1">
      <c r="A95" s="1227" t="s">
        <v>983</v>
      </c>
      <c r="B95" s="229" t="s">
        <v>552</v>
      </c>
      <c r="C95" s="1027"/>
      <c r="D95" s="1027"/>
      <c r="E95" s="1027"/>
      <c r="F95" s="1198" t="s">
        <v>733</v>
      </c>
      <c r="G95" s="1206" t="s">
        <v>734</v>
      </c>
      <c r="H95" s="1198" t="s">
        <v>615</v>
      </c>
      <c r="I95" s="1198" t="s">
        <v>716</v>
      </c>
      <c r="J95" s="1198" t="s">
        <v>54</v>
      </c>
      <c r="K95" s="1206" t="s">
        <v>832</v>
      </c>
      <c r="L95" s="229"/>
      <c r="M95" s="229"/>
      <c r="N95" s="216">
        <v>0</v>
      </c>
      <c r="O95" s="216"/>
      <c r="P95" s="216">
        <v>0</v>
      </c>
      <c r="Q95" s="216">
        <v>0</v>
      </c>
      <c r="R95" s="216">
        <v>0</v>
      </c>
    </row>
    <row r="96" spans="1:18" s="62" customFormat="1" ht="42.75" hidden="1" customHeight="1">
      <c r="A96" s="1227"/>
      <c r="B96" s="229" t="s">
        <v>549</v>
      </c>
      <c r="C96" s="1027"/>
      <c r="D96" s="1027"/>
      <c r="E96" s="1027"/>
      <c r="F96" s="1198"/>
      <c r="G96" s="1206"/>
      <c r="H96" s="1198"/>
      <c r="I96" s="1198"/>
      <c r="J96" s="1198"/>
      <c r="K96" s="1206"/>
      <c r="L96" s="229"/>
      <c r="M96" s="229"/>
      <c r="N96" s="216">
        <v>0</v>
      </c>
      <c r="O96" s="216"/>
      <c r="P96" s="216">
        <v>0</v>
      </c>
      <c r="Q96" s="216">
        <v>0</v>
      </c>
      <c r="R96" s="216">
        <v>0</v>
      </c>
    </row>
    <row r="97" spans="1:18" s="62" customFormat="1" ht="84.75" hidden="1" customHeight="1">
      <c r="A97" s="1047" t="s">
        <v>984</v>
      </c>
      <c r="B97" s="229" t="s">
        <v>558</v>
      </c>
      <c r="C97" s="1027"/>
      <c r="D97" s="1027"/>
      <c r="E97" s="1027"/>
      <c r="F97" s="1027" t="s">
        <v>733</v>
      </c>
      <c r="G97" s="1034" t="s">
        <v>736</v>
      </c>
      <c r="H97" s="1027" t="s">
        <v>615</v>
      </c>
      <c r="I97" s="1027" t="s">
        <v>770</v>
      </c>
      <c r="J97" s="1027" t="s">
        <v>54</v>
      </c>
      <c r="K97" s="1034" t="s">
        <v>771</v>
      </c>
      <c r="L97" s="229"/>
      <c r="M97" s="229"/>
      <c r="N97" s="216">
        <v>0</v>
      </c>
      <c r="O97" s="216"/>
      <c r="P97" s="216">
        <v>0</v>
      </c>
      <c r="Q97" s="216">
        <v>0</v>
      </c>
      <c r="R97" s="216">
        <v>0</v>
      </c>
    </row>
    <row r="98" spans="1:18" s="62" customFormat="1" ht="41.25" hidden="1" customHeight="1">
      <c r="A98" s="1227"/>
      <c r="B98" s="229" t="s">
        <v>550</v>
      </c>
      <c r="C98" s="1027"/>
      <c r="D98" s="1027"/>
      <c r="E98" s="1027"/>
      <c r="F98" s="1198" t="s">
        <v>733</v>
      </c>
      <c r="G98" s="1206" t="s">
        <v>735</v>
      </c>
      <c r="H98" s="1198" t="s">
        <v>615</v>
      </c>
      <c r="I98" s="1198" t="s">
        <v>679</v>
      </c>
      <c r="J98" s="1198" t="s">
        <v>54</v>
      </c>
      <c r="K98" s="1206" t="s">
        <v>833</v>
      </c>
      <c r="L98" s="229"/>
      <c r="M98" s="229"/>
      <c r="N98" s="216">
        <v>0</v>
      </c>
      <c r="O98" s="216"/>
      <c r="P98" s="216">
        <v>0</v>
      </c>
      <c r="Q98" s="216">
        <v>0</v>
      </c>
      <c r="R98" s="216">
        <v>0</v>
      </c>
    </row>
    <row r="99" spans="1:18" s="62" customFormat="1" ht="44.25" hidden="1" customHeight="1">
      <c r="A99" s="1227"/>
      <c r="B99" s="229" t="s">
        <v>551</v>
      </c>
      <c r="C99" s="1027"/>
      <c r="D99" s="1027"/>
      <c r="E99" s="1027"/>
      <c r="F99" s="1198"/>
      <c r="G99" s="1206"/>
      <c r="H99" s="1198"/>
      <c r="I99" s="1198"/>
      <c r="J99" s="1198"/>
      <c r="K99" s="1206"/>
      <c r="L99" s="229"/>
      <c r="M99" s="229"/>
      <c r="N99" s="216">
        <v>0</v>
      </c>
      <c r="O99" s="216"/>
      <c r="P99" s="216">
        <v>0</v>
      </c>
      <c r="Q99" s="216">
        <v>0</v>
      </c>
      <c r="R99" s="216">
        <v>0</v>
      </c>
    </row>
    <row r="100" spans="1:18" s="62" customFormat="1" ht="43.5" hidden="1" customHeight="1">
      <c r="A100" s="1227" t="s">
        <v>1076</v>
      </c>
      <c r="B100" s="229" t="s">
        <v>837</v>
      </c>
      <c r="C100" s="1027"/>
      <c r="D100" s="1027"/>
      <c r="E100" s="1027"/>
      <c r="F100" s="1198" t="s">
        <v>733</v>
      </c>
      <c r="G100" s="1206" t="s">
        <v>860</v>
      </c>
      <c r="H100" s="1198" t="s">
        <v>826</v>
      </c>
      <c r="I100" s="1213" t="s">
        <v>885</v>
      </c>
      <c r="J100" s="1213" t="s">
        <v>54</v>
      </c>
      <c r="K100" s="1213" t="s">
        <v>886</v>
      </c>
      <c r="L100" s="229"/>
      <c r="M100" s="229"/>
      <c r="N100" s="216">
        <v>981.66200000000003</v>
      </c>
      <c r="O100" s="216">
        <v>981.66200000000003</v>
      </c>
      <c r="P100" s="216">
        <v>0</v>
      </c>
      <c r="Q100" s="216">
        <v>0</v>
      </c>
      <c r="R100" s="216">
        <v>0</v>
      </c>
    </row>
    <row r="101" spans="1:18" s="62" customFormat="1" ht="39.75" hidden="1" customHeight="1">
      <c r="A101" s="1227"/>
      <c r="B101" s="229" t="s">
        <v>838</v>
      </c>
      <c r="C101" s="1027"/>
      <c r="D101" s="1027"/>
      <c r="E101" s="1027"/>
      <c r="F101" s="1198"/>
      <c r="G101" s="1206"/>
      <c r="H101" s="1198"/>
      <c r="I101" s="1213"/>
      <c r="J101" s="1213"/>
      <c r="K101" s="1213"/>
      <c r="L101" s="229"/>
      <c r="M101" s="229"/>
      <c r="N101" s="216">
        <v>30.361000000000001</v>
      </c>
      <c r="O101" s="216">
        <v>30.361000000000001</v>
      </c>
      <c r="P101" s="216">
        <v>0</v>
      </c>
      <c r="Q101" s="216">
        <v>0</v>
      </c>
      <c r="R101" s="216">
        <v>0</v>
      </c>
    </row>
    <row r="102" spans="1:18" s="62" customFormat="1" ht="91.5" customHeight="1">
      <c r="A102" s="1066" t="s">
        <v>1487</v>
      </c>
      <c r="B102" s="760" t="s">
        <v>1415</v>
      </c>
      <c r="C102" s="1054"/>
      <c r="D102" s="1054"/>
      <c r="E102" s="1054"/>
      <c r="F102" s="1198" t="s">
        <v>733</v>
      </c>
      <c r="G102" s="1206" t="s">
        <v>853</v>
      </c>
      <c r="H102" s="1198" t="s">
        <v>826</v>
      </c>
      <c r="I102" s="1270" t="s">
        <v>1482</v>
      </c>
      <c r="J102" s="1120" t="s">
        <v>54</v>
      </c>
      <c r="K102" s="1120" t="s">
        <v>1483</v>
      </c>
      <c r="L102" s="229" t="s">
        <v>36</v>
      </c>
      <c r="M102" s="229" t="s">
        <v>31</v>
      </c>
      <c r="N102" s="216">
        <v>853.31200000000001</v>
      </c>
      <c r="O102" s="216">
        <v>853.31200000000001</v>
      </c>
      <c r="P102" s="761">
        <v>0</v>
      </c>
      <c r="Q102" s="761">
        <v>0</v>
      </c>
      <c r="R102" s="761">
        <v>0</v>
      </c>
    </row>
    <row r="103" spans="1:18" s="62" customFormat="1" ht="88.5" customHeight="1">
      <c r="A103" s="1066"/>
      <c r="B103" s="760" t="s">
        <v>1416</v>
      </c>
      <c r="C103" s="1054"/>
      <c r="D103" s="1054"/>
      <c r="E103" s="1054"/>
      <c r="F103" s="1198"/>
      <c r="G103" s="1206"/>
      <c r="H103" s="1198"/>
      <c r="I103" s="1270"/>
      <c r="J103" s="1120"/>
      <c r="K103" s="1120"/>
      <c r="L103" s="229" t="s">
        <v>36</v>
      </c>
      <c r="M103" s="229" t="s">
        <v>31</v>
      </c>
      <c r="N103" s="216">
        <v>26.390999999999998</v>
      </c>
      <c r="O103" s="216">
        <v>26.390999999999998</v>
      </c>
      <c r="P103" s="761">
        <v>0</v>
      </c>
      <c r="Q103" s="761">
        <v>0</v>
      </c>
      <c r="R103" s="761">
        <v>0</v>
      </c>
    </row>
    <row r="104" spans="1:18" s="62" customFormat="1" ht="85.5" customHeight="1">
      <c r="A104" s="1066" t="s">
        <v>1488</v>
      </c>
      <c r="B104" s="760" t="s">
        <v>822</v>
      </c>
      <c r="C104" s="1054"/>
      <c r="D104" s="1054"/>
      <c r="E104" s="1054"/>
      <c r="F104" s="1198" t="s">
        <v>733</v>
      </c>
      <c r="G104" s="1034" t="s">
        <v>825</v>
      </c>
      <c r="H104" s="1027" t="s">
        <v>826</v>
      </c>
      <c r="I104" s="1213" t="s">
        <v>1021</v>
      </c>
      <c r="J104" s="1213" t="s">
        <v>54</v>
      </c>
      <c r="K104" s="1213" t="s">
        <v>824</v>
      </c>
      <c r="L104" s="229" t="s">
        <v>36</v>
      </c>
      <c r="M104" s="229" t="s">
        <v>31</v>
      </c>
      <c r="N104" s="216">
        <v>1904.5050000000001</v>
      </c>
      <c r="O104" s="216">
        <v>1904.5050000000001</v>
      </c>
      <c r="P104" s="761">
        <v>1904.5050000000001</v>
      </c>
      <c r="Q104" s="761">
        <v>1904.5050000000001</v>
      </c>
      <c r="R104" s="761">
        <v>2179.4119999999998</v>
      </c>
    </row>
    <row r="105" spans="1:18" s="62" customFormat="1" ht="85.5" customHeight="1">
      <c r="A105" s="1066"/>
      <c r="B105" s="760" t="s">
        <v>823</v>
      </c>
      <c r="C105" s="1054"/>
      <c r="D105" s="1054"/>
      <c r="E105" s="1054"/>
      <c r="F105" s="1198"/>
      <c r="G105" s="1034"/>
      <c r="H105" s="1027"/>
      <c r="I105" s="1213"/>
      <c r="J105" s="1213"/>
      <c r="K105" s="1213"/>
      <c r="L105" s="229" t="s">
        <v>36</v>
      </c>
      <c r="M105" s="229" t="s">
        <v>31</v>
      </c>
      <c r="N105" s="216">
        <v>58.904000000000003</v>
      </c>
      <c r="O105" s="216">
        <v>58.904000000000003</v>
      </c>
      <c r="P105" s="761">
        <v>58.901000000000003</v>
      </c>
      <c r="Q105" s="761">
        <v>58.901000000000003</v>
      </c>
      <c r="R105" s="761">
        <v>221.29499999999999</v>
      </c>
    </row>
    <row r="106" spans="1:18" s="62" customFormat="1" ht="12.75" customHeight="1">
      <c r="A106" s="495" t="s">
        <v>1077</v>
      </c>
      <c r="B106" s="439"/>
      <c r="C106" s="1027"/>
      <c r="D106" s="1027"/>
      <c r="E106" s="1027"/>
      <c r="F106" s="1027"/>
      <c r="G106" s="1027"/>
      <c r="H106" s="1027"/>
      <c r="I106" s="1027"/>
      <c r="J106" s="1027"/>
      <c r="K106" s="1027"/>
      <c r="L106" s="229"/>
      <c r="M106" s="229"/>
      <c r="N106" s="216"/>
      <c r="O106" s="216"/>
      <c r="P106" s="216"/>
      <c r="Q106" s="216"/>
      <c r="R106" s="216"/>
    </row>
    <row r="107" spans="1:18" s="62" customFormat="1" ht="23.25" customHeight="1">
      <c r="A107" s="228" t="s">
        <v>1486</v>
      </c>
      <c r="B107" s="229"/>
      <c r="C107" s="1038"/>
      <c r="D107" s="1038"/>
      <c r="E107" s="1038"/>
      <c r="F107" s="1027"/>
      <c r="G107" s="1038"/>
      <c r="H107" s="1038"/>
      <c r="I107" s="1038"/>
      <c r="J107" s="1038"/>
      <c r="K107" s="1038"/>
      <c r="L107" s="229"/>
      <c r="M107" s="229"/>
      <c r="N107" s="216"/>
      <c r="O107" s="216"/>
      <c r="P107" s="216"/>
      <c r="Q107" s="216"/>
      <c r="R107" s="216"/>
    </row>
    <row r="108" spans="1:18" s="62" customFormat="1" ht="95.25" customHeight="1">
      <c r="A108" s="720"/>
      <c r="B108" s="760" t="s">
        <v>369</v>
      </c>
      <c r="C108" s="1120"/>
      <c r="D108" s="1120"/>
      <c r="E108" s="1120"/>
      <c r="F108" s="1225" t="s">
        <v>391</v>
      </c>
      <c r="G108" s="1120" t="s">
        <v>530</v>
      </c>
      <c r="H108" s="1120" t="s">
        <v>392</v>
      </c>
      <c r="I108" s="1120" t="s">
        <v>883</v>
      </c>
      <c r="J108" s="1120" t="s">
        <v>54</v>
      </c>
      <c r="K108" s="1120" t="s">
        <v>884</v>
      </c>
      <c r="L108" s="229" t="s">
        <v>36</v>
      </c>
      <c r="M108" s="229" t="s">
        <v>31</v>
      </c>
      <c r="N108" s="761">
        <v>250</v>
      </c>
      <c r="O108" s="761">
        <v>250</v>
      </c>
      <c r="P108" s="761">
        <v>0</v>
      </c>
      <c r="Q108" s="761">
        <v>0</v>
      </c>
      <c r="R108" s="761">
        <v>0</v>
      </c>
    </row>
    <row r="109" spans="1:18" s="62" customFormat="1" ht="106.5" customHeight="1">
      <c r="A109" s="762"/>
      <c r="B109" s="753" t="s">
        <v>648</v>
      </c>
      <c r="C109" s="754"/>
      <c r="D109" s="754"/>
      <c r="E109" s="754"/>
      <c r="F109" s="1226"/>
      <c r="G109" s="754"/>
      <c r="H109" s="754"/>
      <c r="I109" s="754" t="s">
        <v>1221</v>
      </c>
      <c r="J109" s="754" t="s">
        <v>54</v>
      </c>
      <c r="K109" s="754" t="s">
        <v>1222</v>
      </c>
      <c r="L109" s="753" t="s">
        <v>36</v>
      </c>
      <c r="M109" s="753" t="s">
        <v>31</v>
      </c>
      <c r="N109" s="782">
        <v>115.4</v>
      </c>
      <c r="O109" s="755">
        <v>115.4</v>
      </c>
      <c r="P109" s="755">
        <v>0</v>
      </c>
      <c r="Q109" s="755">
        <v>0</v>
      </c>
      <c r="R109" s="755">
        <v>0</v>
      </c>
    </row>
    <row r="110" spans="1:18" s="62" customFormat="1" ht="144.75" customHeight="1">
      <c r="A110" s="756" t="s">
        <v>691</v>
      </c>
      <c r="B110" s="757" t="s">
        <v>413</v>
      </c>
      <c r="C110" s="1045"/>
      <c r="D110" s="1045"/>
      <c r="E110" s="1045"/>
      <c r="F110" s="1045"/>
      <c r="G110" s="1045"/>
      <c r="H110" s="758"/>
      <c r="I110" s="1045"/>
      <c r="J110" s="1045"/>
      <c r="K110" s="758"/>
      <c r="L110" s="236" t="s">
        <v>36</v>
      </c>
      <c r="M110" s="236" t="s">
        <v>31</v>
      </c>
      <c r="N110" s="759">
        <f>SUM(N111:N156)</f>
        <v>292041.85700000002</v>
      </c>
      <c r="O110" s="759">
        <f>SUM(O111:O156)-0.15</f>
        <v>197243.37700000004</v>
      </c>
      <c r="P110" s="759">
        <f>SUM(P113:P156)</f>
        <v>231945.51700000005</v>
      </c>
      <c r="Q110" s="759">
        <f>SUM(Q111:Q156)</f>
        <v>255723.46300000005</v>
      </c>
      <c r="R110" s="759">
        <f>SUM(R111:R156)</f>
        <v>87033.860000000015</v>
      </c>
    </row>
    <row r="111" spans="1:18" s="62" customFormat="1" ht="12.75" customHeight="1">
      <c r="A111" s="599" t="s">
        <v>987</v>
      </c>
      <c r="B111" s="432"/>
      <c r="C111" s="1369" t="s">
        <v>306</v>
      </c>
      <c r="D111" s="1369" t="s">
        <v>279</v>
      </c>
      <c r="E111" s="1369" t="s">
        <v>47</v>
      </c>
      <c r="F111" s="1369" t="s">
        <v>304</v>
      </c>
      <c r="G111" s="1369" t="s">
        <v>280</v>
      </c>
      <c r="H111" s="1369" t="s">
        <v>190</v>
      </c>
      <c r="I111" s="528"/>
      <c r="J111" s="433"/>
      <c r="K111" s="529"/>
      <c r="L111" s="438"/>
      <c r="M111" s="438"/>
      <c r="N111" s="445"/>
      <c r="O111" s="553"/>
      <c r="P111" s="445"/>
      <c r="Q111" s="445"/>
      <c r="R111" s="445"/>
    </row>
    <row r="112" spans="1:18" s="62" customFormat="1" ht="25.5" customHeight="1">
      <c r="A112" s="600" t="s">
        <v>1078</v>
      </c>
      <c r="B112" s="261"/>
      <c r="C112" s="1233"/>
      <c r="D112" s="1233"/>
      <c r="E112" s="1233"/>
      <c r="F112" s="1233"/>
      <c r="G112" s="1233"/>
      <c r="H112" s="1233"/>
      <c r="I112" s="1398" t="s">
        <v>1521</v>
      </c>
      <c r="J112" s="1027" t="s">
        <v>54</v>
      </c>
      <c r="K112" s="443" t="s">
        <v>731</v>
      </c>
      <c r="L112" s="229"/>
      <c r="M112" s="229"/>
      <c r="N112" s="601"/>
      <c r="O112" s="601"/>
      <c r="P112" s="601"/>
      <c r="Q112" s="601"/>
      <c r="R112" s="601"/>
    </row>
    <row r="113" spans="1:18" s="62" customFormat="1" ht="47.25" customHeight="1">
      <c r="A113" s="1366" t="s">
        <v>1079</v>
      </c>
      <c r="B113" s="261"/>
      <c r="C113" s="1233"/>
      <c r="D113" s="1042"/>
      <c r="E113" s="1042"/>
      <c r="F113" s="1042"/>
      <c r="G113" s="1042"/>
      <c r="H113" s="1042"/>
      <c r="I113" s="1398"/>
      <c r="J113" s="1027"/>
      <c r="K113" s="443"/>
      <c r="L113" s="229"/>
      <c r="M113" s="229"/>
      <c r="N113" s="216">
        <f>12.287+5500</f>
        <v>5512.2870000000003</v>
      </c>
      <c r="O113" s="216">
        <f>10.877+5304.19</f>
        <v>5315.067</v>
      </c>
      <c r="P113" s="216">
        <v>0</v>
      </c>
      <c r="Q113" s="216">
        <v>0</v>
      </c>
      <c r="R113" s="216">
        <v>0</v>
      </c>
    </row>
    <row r="114" spans="1:18" s="62" customFormat="1" ht="42" customHeight="1">
      <c r="A114" s="1366"/>
      <c r="B114" s="233" t="s">
        <v>1491</v>
      </c>
      <c r="C114" s="1083"/>
      <c r="D114" s="1083"/>
      <c r="E114" s="1083"/>
      <c r="F114" s="1233" t="s">
        <v>733</v>
      </c>
      <c r="G114" s="1048" t="s">
        <v>854</v>
      </c>
      <c r="H114" s="1231" t="s">
        <v>826</v>
      </c>
      <c r="I114" s="430"/>
      <c r="J114" s="1001"/>
      <c r="K114" s="1058"/>
      <c r="L114" s="229"/>
      <c r="M114" s="229"/>
      <c r="N114" s="216">
        <v>12274.4</v>
      </c>
      <c r="O114" s="216">
        <v>10866.047</v>
      </c>
      <c r="P114" s="216">
        <v>797.26199999999994</v>
      </c>
      <c r="Q114" s="216">
        <v>0</v>
      </c>
      <c r="R114" s="216">
        <v>0</v>
      </c>
    </row>
    <row r="115" spans="1:18" s="62" customFormat="1" ht="12">
      <c r="A115" s="1367"/>
      <c r="B115" s="981"/>
      <c r="C115" s="1107"/>
      <c r="D115" s="1107"/>
      <c r="E115" s="1107"/>
      <c r="F115" s="1358"/>
      <c r="G115" s="971"/>
      <c r="H115" s="1368"/>
      <c r="I115" s="1106"/>
      <c r="J115" s="1106"/>
      <c r="K115" s="1058"/>
      <c r="L115" s="921"/>
      <c r="M115" s="921"/>
      <c r="N115" s="982"/>
      <c r="O115" s="982"/>
      <c r="P115" s="982"/>
      <c r="Q115" s="982"/>
      <c r="R115" s="982"/>
    </row>
    <row r="116" spans="1:18" s="62" customFormat="1" ht="42" customHeight="1">
      <c r="A116" s="1366"/>
      <c r="B116" s="233" t="s">
        <v>1492</v>
      </c>
      <c r="C116" s="1083"/>
      <c r="D116" s="1083"/>
      <c r="E116" s="1083"/>
      <c r="F116" s="1233"/>
      <c r="G116" s="1048" t="s">
        <v>855</v>
      </c>
      <c r="H116" s="1231"/>
      <c r="I116" s="430"/>
      <c r="J116" s="1001"/>
      <c r="K116" s="1058"/>
      <c r="L116" s="229"/>
      <c r="M116" s="229"/>
      <c r="N116" s="216">
        <v>5500</v>
      </c>
      <c r="O116" s="216">
        <v>5304.19</v>
      </c>
      <c r="P116" s="216">
        <v>195.81</v>
      </c>
      <c r="Q116" s="216">
        <v>0</v>
      </c>
      <c r="R116" s="216">
        <v>0</v>
      </c>
    </row>
    <row r="117" spans="1:18" s="62" customFormat="1" ht="12">
      <c r="A117" s="983"/>
      <c r="B117" s="981"/>
      <c r="C117" s="1107"/>
      <c r="D117" s="1107"/>
      <c r="E117" s="1107"/>
      <c r="F117" s="1107"/>
      <c r="G117" s="971"/>
      <c r="H117" s="1111"/>
      <c r="I117" s="1106"/>
      <c r="J117" s="1106"/>
      <c r="K117" s="1058"/>
      <c r="L117" s="921"/>
      <c r="M117" s="921"/>
      <c r="N117" s="982"/>
      <c r="O117" s="982"/>
      <c r="P117" s="982"/>
      <c r="Q117" s="982"/>
      <c r="R117" s="982"/>
    </row>
    <row r="118" spans="1:18" s="62" customFormat="1" ht="13.5" customHeight="1">
      <c r="A118" s="1236" t="s">
        <v>1080</v>
      </c>
      <c r="B118" s="261"/>
      <c r="C118" s="1042"/>
      <c r="D118" s="1042"/>
      <c r="E118" s="1042"/>
      <c r="F118" s="1231" t="s">
        <v>733</v>
      </c>
      <c r="G118" s="1042"/>
      <c r="H118" s="1042"/>
      <c r="I118" s="1042"/>
      <c r="J118" s="1042"/>
      <c r="K118" s="393"/>
      <c r="L118" s="229"/>
      <c r="M118" s="229"/>
      <c r="N118" s="216">
        <v>838.4</v>
      </c>
      <c r="O118" s="216">
        <v>838.4</v>
      </c>
      <c r="P118" s="216">
        <f>67.453+4050</f>
        <v>4117.4530000000004</v>
      </c>
      <c r="Q118" s="216">
        <v>57.673000000000002</v>
      </c>
      <c r="R118" s="216">
        <v>0</v>
      </c>
    </row>
    <row r="119" spans="1:18" s="62" customFormat="1" ht="71.25" customHeight="1">
      <c r="A119" s="1236"/>
      <c r="B119" s="240" t="s">
        <v>867</v>
      </c>
      <c r="C119" s="1042"/>
      <c r="D119" s="1042"/>
      <c r="E119" s="1042"/>
      <c r="F119" s="1231"/>
      <c r="G119" s="429" t="s">
        <v>868</v>
      </c>
      <c r="H119" s="868" t="s">
        <v>615</v>
      </c>
      <c r="I119" s="1084" t="s">
        <v>1472</v>
      </c>
      <c r="J119" s="1084" t="s">
        <v>54</v>
      </c>
      <c r="K119" s="1058" t="s">
        <v>1471</v>
      </c>
      <c r="L119" s="229"/>
      <c r="M119" s="229"/>
      <c r="N119" s="216">
        <v>1257.5999999999999</v>
      </c>
      <c r="O119" s="216">
        <v>1257.5999999999999</v>
      </c>
      <c r="P119" s="216">
        <v>6075</v>
      </c>
      <c r="Q119" s="216">
        <v>0</v>
      </c>
      <c r="R119" s="216">
        <v>0</v>
      </c>
    </row>
    <row r="120" spans="1:18" s="62" customFormat="1" ht="31.5" customHeight="1">
      <c r="A120" s="1108"/>
      <c r="B120" s="1013" t="s">
        <v>762</v>
      </c>
      <c r="C120" s="1053"/>
      <c r="D120" s="1053"/>
      <c r="E120" s="1053"/>
      <c r="F120" s="961"/>
      <c r="G120" s="725"/>
      <c r="H120" s="1053"/>
      <c r="I120" s="1357" t="s">
        <v>1509</v>
      </c>
      <c r="J120" s="1357" t="s">
        <v>54</v>
      </c>
      <c r="K120" s="1122" t="s">
        <v>1470</v>
      </c>
      <c r="L120" s="760"/>
      <c r="M120" s="760"/>
      <c r="N120" s="761">
        <v>0</v>
      </c>
      <c r="O120" s="761">
        <v>0</v>
      </c>
      <c r="P120" s="761">
        <v>58625</v>
      </c>
      <c r="Q120" s="761">
        <f>50125+112530</f>
        <v>162655</v>
      </c>
      <c r="R120" s="761">
        <v>0</v>
      </c>
    </row>
    <row r="121" spans="1:18" s="62" customFormat="1" ht="44.25" customHeight="1">
      <c r="A121" s="1108"/>
      <c r="B121" s="1013" t="s">
        <v>763</v>
      </c>
      <c r="C121" s="1053"/>
      <c r="D121" s="1053"/>
      <c r="E121" s="1053"/>
      <c r="F121" s="961"/>
      <c r="G121" s="725"/>
      <c r="H121" s="1053"/>
      <c r="I121" s="1357"/>
      <c r="J121" s="1357"/>
      <c r="K121" s="1122"/>
      <c r="L121" s="760"/>
      <c r="M121" s="760"/>
      <c r="N121" s="761">
        <v>0</v>
      </c>
      <c r="O121" s="761">
        <v>0</v>
      </c>
      <c r="P121" s="761">
        <v>8760.06</v>
      </c>
      <c r="Q121" s="761">
        <v>7489.94</v>
      </c>
      <c r="R121" s="761">
        <v>0</v>
      </c>
    </row>
    <row r="122" spans="1:18" s="62" customFormat="1" ht="44.25" customHeight="1">
      <c r="A122" s="261" t="s">
        <v>1081</v>
      </c>
      <c r="B122" s="261"/>
      <c r="C122" s="1042"/>
      <c r="D122" s="1042"/>
      <c r="E122" s="1042"/>
      <c r="F122" s="1042"/>
      <c r="G122" s="1042"/>
      <c r="H122" s="1042"/>
      <c r="I122" s="1239" t="s">
        <v>790</v>
      </c>
      <c r="J122" s="1239" t="s">
        <v>54</v>
      </c>
      <c r="K122" s="1246" t="s">
        <v>786</v>
      </c>
      <c r="L122" s="229"/>
      <c r="M122" s="229"/>
      <c r="N122" s="216">
        <f>269.101+28092.95</f>
        <v>28362.050999999999</v>
      </c>
      <c r="O122" s="216">
        <f>0+13196.433</f>
        <v>13196.433000000001</v>
      </c>
      <c r="P122" s="216">
        <v>0</v>
      </c>
      <c r="Q122" s="216">
        <v>0</v>
      </c>
      <c r="R122" s="216">
        <v>0</v>
      </c>
    </row>
    <row r="123" spans="1:18" s="62" customFormat="1" ht="43.5" customHeight="1">
      <c r="A123" s="1110"/>
      <c r="B123" s="240" t="s">
        <v>757</v>
      </c>
      <c r="C123" s="1042"/>
      <c r="D123" s="1042"/>
      <c r="E123" s="1042"/>
      <c r="F123" s="1231" t="s">
        <v>733</v>
      </c>
      <c r="G123" s="1240" t="s">
        <v>861</v>
      </c>
      <c r="H123" s="1231" t="s">
        <v>826</v>
      </c>
      <c r="I123" s="1239"/>
      <c r="J123" s="1239"/>
      <c r="K123" s="1246"/>
      <c r="L123" s="229"/>
      <c r="M123" s="229"/>
      <c r="N123" s="216">
        <v>63807.417999999998</v>
      </c>
      <c r="O123" s="216">
        <v>13774.194</v>
      </c>
      <c r="P123" s="216">
        <v>0</v>
      </c>
      <c r="Q123" s="216">
        <v>0</v>
      </c>
      <c r="R123" s="216">
        <v>0</v>
      </c>
    </row>
    <row r="124" spans="1:18" s="62" customFormat="1" ht="41.25" customHeight="1">
      <c r="A124" s="1110"/>
      <c r="B124" s="240" t="s">
        <v>881</v>
      </c>
      <c r="C124" s="1042"/>
      <c r="D124" s="1042"/>
      <c r="E124" s="1042"/>
      <c r="F124" s="1231"/>
      <c r="G124" s="1240"/>
      <c r="H124" s="1231"/>
      <c r="I124" s="1239"/>
      <c r="J124" s="1239"/>
      <c r="K124" s="1246"/>
      <c r="L124" s="229"/>
      <c r="M124" s="229"/>
      <c r="N124" s="216">
        <v>69624.357999999993</v>
      </c>
      <c r="O124" s="216">
        <v>45395.146000000001</v>
      </c>
      <c r="P124" s="216">
        <v>50033.222999999998</v>
      </c>
      <c r="Q124" s="216">
        <v>0</v>
      </c>
      <c r="R124" s="216">
        <v>0</v>
      </c>
    </row>
    <row r="125" spans="1:18" s="62" customFormat="1" ht="36">
      <c r="A125" s="835" t="s">
        <v>1082</v>
      </c>
      <c r="B125" s="261"/>
      <c r="C125" s="1042"/>
      <c r="D125" s="1042"/>
      <c r="E125" s="1042"/>
      <c r="F125" s="1231"/>
      <c r="G125" s="1042"/>
      <c r="H125" s="1042"/>
      <c r="I125" s="1231"/>
      <c r="J125" s="1042"/>
      <c r="K125" s="393"/>
      <c r="L125" s="229"/>
      <c r="M125" s="229"/>
      <c r="N125" s="216">
        <v>791.21799999999996</v>
      </c>
      <c r="O125" s="216">
        <v>791.36300000000006</v>
      </c>
      <c r="P125" s="216">
        <v>0</v>
      </c>
      <c r="Q125" s="216">
        <v>0</v>
      </c>
      <c r="R125" s="216">
        <v>0</v>
      </c>
    </row>
    <row r="126" spans="1:18" s="62" customFormat="1" ht="24">
      <c r="A126" s="1110"/>
      <c r="B126" s="240" t="s">
        <v>934</v>
      </c>
      <c r="C126" s="1042"/>
      <c r="D126" s="1042"/>
      <c r="E126" s="1042"/>
      <c r="F126" s="1231"/>
      <c r="G126" s="1048"/>
      <c r="H126" s="1042"/>
      <c r="I126" s="1231"/>
      <c r="J126" s="1042"/>
      <c r="K126" s="869"/>
      <c r="L126" s="229"/>
      <c r="M126" s="229"/>
      <c r="N126" s="216">
        <v>12123.9</v>
      </c>
      <c r="O126" s="216">
        <v>11863.084000000001</v>
      </c>
      <c r="P126" s="216">
        <v>14065.1</v>
      </c>
      <c r="Q126" s="216">
        <v>0</v>
      </c>
      <c r="R126" s="216">
        <v>0</v>
      </c>
    </row>
    <row r="127" spans="1:18" s="62" customFormat="1" ht="44.25" customHeight="1">
      <c r="A127" s="835" t="s">
        <v>1083</v>
      </c>
      <c r="B127" s="233" t="s">
        <v>1415</v>
      </c>
      <c r="C127" s="1083"/>
      <c r="D127" s="1083"/>
      <c r="E127" s="1083"/>
      <c r="F127" s="1233" t="s">
        <v>733</v>
      </c>
      <c r="G127" s="1232" t="s">
        <v>853</v>
      </c>
      <c r="H127" s="1233" t="s">
        <v>826</v>
      </c>
      <c r="I127" s="1159" t="s">
        <v>887</v>
      </c>
      <c r="J127" s="1159" t="s">
        <v>54</v>
      </c>
      <c r="K127" s="1247" t="s">
        <v>886</v>
      </c>
      <c r="L127" s="229"/>
      <c r="M127" s="229"/>
      <c r="N127" s="216">
        <v>853.31200000000001</v>
      </c>
      <c r="O127" s="216">
        <v>853.31200000000001</v>
      </c>
      <c r="P127" s="216">
        <v>191.38</v>
      </c>
      <c r="Q127" s="216">
        <v>0</v>
      </c>
      <c r="R127" s="216">
        <v>0</v>
      </c>
    </row>
    <row r="128" spans="1:18" s="62" customFormat="1" ht="40.5" customHeight="1">
      <c r="A128" s="261"/>
      <c r="B128" s="233" t="s">
        <v>1416</v>
      </c>
      <c r="C128" s="1083"/>
      <c r="D128" s="1083"/>
      <c r="E128" s="1083"/>
      <c r="F128" s="1233"/>
      <c r="G128" s="1232"/>
      <c r="H128" s="1233"/>
      <c r="I128" s="1159"/>
      <c r="J128" s="1159"/>
      <c r="K128" s="1247"/>
      <c r="L128" s="229"/>
      <c r="M128" s="229"/>
      <c r="N128" s="216">
        <v>26.390999999999998</v>
      </c>
      <c r="O128" s="216">
        <v>26.390999999999998</v>
      </c>
      <c r="P128" s="216">
        <v>5.92</v>
      </c>
      <c r="Q128" s="216">
        <v>0</v>
      </c>
      <c r="R128" s="216">
        <v>0</v>
      </c>
    </row>
    <row r="129" spans="1:18" s="62" customFormat="1" ht="42.75" hidden="1" customHeight="1">
      <c r="A129" s="1227"/>
      <c r="B129" s="229" t="s">
        <v>552</v>
      </c>
      <c r="C129" s="1027"/>
      <c r="D129" s="1027"/>
      <c r="E129" s="1027"/>
      <c r="F129" s="1198" t="s">
        <v>733</v>
      </c>
      <c r="G129" s="1206" t="s">
        <v>734</v>
      </c>
      <c r="H129" s="1198" t="s">
        <v>615</v>
      </c>
      <c r="I129" s="1198" t="s">
        <v>716</v>
      </c>
      <c r="J129" s="1198" t="s">
        <v>54</v>
      </c>
      <c r="K129" s="1243" t="s">
        <v>832</v>
      </c>
      <c r="L129" s="229"/>
      <c r="M129" s="229"/>
      <c r="N129" s="216">
        <v>0</v>
      </c>
      <c r="O129" s="216"/>
      <c r="P129" s="216">
        <v>0</v>
      </c>
      <c r="Q129" s="216">
        <v>0</v>
      </c>
      <c r="R129" s="216">
        <v>0</v>
      </c>
    </row>
    <row r="130" spans="1:18" s="62" customFormat="1" ht="43.5" hidden="1" customHeight="1">
      <c r="A130" s="1227"/>
      <c r="B130" s="229" t="s">
        <v>549</v>
      </c>
      <c r="C130" s="1027"/>
      <c r="D130" s="1027"/>
      <c r="E130" s="1027"/>
      <c r="F130" s="1198"/>
      <c r="G130" s="1206"/>
      <c r="H130" s="1198"/>
      <c r="I130" s="1198"/>
      <c r="J130" s="1198"/>
      <c r="K130" s="1243"/>
      <c r="L130" s="229"/>
      <c r="M130" s="229"/>
      <c r="N130" s="216">
        <v>0</v>
      </c>
      <c r="O130" s="216"/>
      <c r="P130" s="216">
        <v>0</v>
      </c>
      <c r="Q130" s="216">
        <v>0</v>
      </c>
      <c r="R130" s="216">
        <v>0</v>
      </c>
    </row>
    <row r="131" spans="1:18" s="62" customFormat="1" ht="14.25" customHeight="1">
      <c r="A131" s="1236" t="s">
        <v>1084</v>
      </c>
      <c r="B131" s="240"/>
      <c r="C131" s="1042"/>
      <c r="D131" s="1042"/>
      <c r="E131" s="1042"/>
      <c r="F131" s="1231" t="s">
        <v>733</v>
      </c>
      <c r="G131" s="1048"/>
      <c r="H131" s="1042"/>
      <c r="I131" s="1239" t="s">
        <v>843</v>
      </c>
      <c r="J131" s="1042"/>
      <c r="K131" s="444"/>
      <c r="L131" s="229"/>
      <c r="M131" s="229"/>
      <c r="N131" s="216">
        <v>7.2080000000000002</v>
      </c>
      <c r="O131" s="216">
        <v>7.2080000000000002</v>
      </c>
      <c r="P131" s="216">
        <v>0</v>
      </c>
      <c r="Q131" s="216">
        <v>0</v>
      </c>
      <c r="R131" s="216">
        <v>0</v>
      </c>
    </row>
    <row r="132" spans="1:18" s="62" customFormat="1" ht="36" customHeight="1">
      <c r="A132" s="1236"/>
      <c r="B132" s="233" t="s">
        <v>835</v>
      </c>
      <c r="C132" s="1083"/>
      <c r="D132" s="1083"/>
      <c r="E132" s="1083"/>
      <c r="F132" s="1231"/>
      <c r="G132" s="1232" t="s">
        <v>862</v>
      </c>
      <c r="H132" s="1233" t="s">
        <v>826</v>
      </c>
      <c r="I132" s="1239"/>
      <c r="J132" s="1159" t="s">
        <v>54</v>
      </c>
      <c r="K132" s="1393" t="s">
        <v>844</v>
      </c>
      <c r="L132" s="229"/>
      <c r="M132" s="229"/>
      <c r="N132" s="216">
        <f>6985.026+2108.874</f>
        <v>9093.9</v>
      </c>
      <c r="O132" s="216">
        <f>6985.026+0</f>
        <v>6985.0259999999998</v>
      </c>
      <c r="P132" s="216">
        <v>0</v>
      </c>
      <c r="Q132" s="216">
        <v>0</v>
      </c>
      <c r="R132" s="216">
        <v>0</v>
      </c>
    </row>
    <row r="133" spans="1:18" s="62" customFormat="1" ht="33.75" customHeight="1">
      <c r="A133" s="1236"/>
      <c r="B133" s="233" t="s">
        <v>836</v>
      </c>
      <c r="C133" s="1083"/>
      <c r="D133" s="1083"/>
      <c r="E133" s="1083"/>
      <c r="F133" s="1231"/>
      <c r="G133" s="1232"/>
      <c r="H133" s="1233"/>
      <c r="I133" s="1239"/>
      <c r="J133" s="1159"/>
      <c r="K133" s="1393"/>
      <c r="L133" s="229"/>
      <c r="M133" s="229"/>
      <c r="N133" s="216">
        <f>216.032+65.223</f>
        <v>281.255</v>
      </c>
      <c r="O133" s="216">
        <f>216.032+0</f>
        <v>216.03200000000001</v>
      </c>
      <c r="P133" s="216">
        <v>0</v>
      </c>
      <c r="Q133" s="216">
        <v>0</v>
      </c>
      <c r="R133" s="216">
        <v>0</v>
      </c>
    </row>
    <row r="134" spans="1:18" s="62" customFormat="1" ht="48" customHeight="1">
      <c r="A134" s="431" t="s">
        <v>1085</v>
      </c>
      <c r="B134" s="297" t="s">
        <v>558</v>
      </c>
      <c r="C134" s="868"/>
      <c r="D134" s="868"/>
      <c r="E134" s="442"/>
      <c r="F134" s="1231" t="s">
        <v>733</v>
      </c>
      <c r="G134" s="1048" t="s">
        <v>736</v>
      </c>
      <c r="H134" s="1231" t="s">
        <v>615</v>
      </c>
      <c r="I134" s="183" t="s">
        <v>770</v>
      </c>
      <c r="J134" s="868" t="s">
        <v>54</v>
      </c>
      <c r="K134" s="444" t="s">
        <v>771</v>
      </c>
      <c r="L134" s="229"/>
      <c r="M134" s="229"/>
      <c r="N134" s="216">
        <v>1590.4</v>
      </c>
      <c r="O134" s="216">
        <v>1590.4</v>
      </c>
      <c r="P134" s="216">
        <v>0</v>
      </c>
      <c r="Q134" s="216">
        <v>0</v>
      </c>
      <c r="R134" s="216">
        <v>0</v>
      </c>
    </row>
    <row r="135" spans="1:18" s="62" customFormat="1" ht="30.75" customHeight="1">
      <c r="A135" s="1235"/>
      <c r="B135" s="233" t="s">
        <v>837</v>
      </c>
      <c r="C135" s="1083"/>
      <c r="D135" s="1083"/>
      <c r="E135" s="442"/>
      <c r="F135" s="1231"/>
      <c r="G135" s="1232" t="s">
        <v>860</v>
      </c>
      <c r="H135" s="1231"/>
      <c r="I135" s="1397" t="s">
        <v>885</v>
      </c>
      <c r="J135" s="1159" t="s">
        <v>54</v>
      </c>
      <c r="K135" s="1393" t="s">
        <v>886</v>
      </c>
      <c r="L135" s="229"/>
      <c r="M135" s="229"/>
      <c r="N135" s="216">
        <v>981.66200000000003</v>
      </c>
      <c r="O135" s="216">
        <v>981.66200000000003</v>
      </c>
      <c r="P135" s="216">
        <v>0</v>
      </c>
      <c r="Q135" s="216">
        <v>0</v>
      </c>
      <c r="R135" s="216">
        <v>0</v>
      </c>
    </row>
    <row r="136" spans="1:18" s="62" customFormat="1" ht="30.75" customHeight="1">
      <c r="A136" s="1235"/>
      <c r="B136" s="233" t="s">
        <v>838</v>
      </c>
      <c r="C136" s="1083"/>
      <c r="D136" s="1083"/>
      <c r="E136" s="442"/>
      <c r="F136" s="1231"/>
      <c r="G136" s="1232"/>
      <c r="H136" s="1231"/>
      <c r="I136" s="1397"/>
      <c r="J136" s="1159"/>
      <c r="K136" s="1393"/>
      <c r="L136" s="229"/>
      <c r="M136" s="229"/>
      <c r="N136" s="216">
        <v>30.361000000000001</v>
      </c>
      <c r="O136" s="216">
        <v>30.361000000000001</v>
      </c>
      <c r="P136" s="216">
        <v>0</v>
      </c>
      <c r="Q136" s="216">
        <v>0</v>
      </c>
      <c r="R136" s="216">
        <v>0</v>
      </c>
    </row>
    <row r="137" spans="1:18" s="62" customFormat="1" ht="36" hidden="1" customHeight="1">
      <c r="A137" s="1227"/>
      <c r="B137" s="229" t="s">
        <v>550</v>
      </c>
      <c r="C137" s="1027"/>
      <c r="D137" s="1027"/>
      <c r="E137" s="443"/>
      <c r="F137" s="1231"/>
      <c r="G137" s="1232"/>
      <c r="H137" s="1231"/>
      <c r="I137" s="1352" t="s">
        <v>679</v>
      </c>
      <c r="J137" s="1198" t="s">
        <v>54</v>
      </c>
      <c r="K137" s="1243" t="s">
        <v>833</v>
      </c>
      <c r="L137" s="229"/>
      <c r="M137" s="229"/>
      <c r="N137" s="216">
        <v>0</v>
      </c>
      <c r="O137" s="216"/>
      <c r="P137" s="216">
        <v>0</v>
      </c>
      <c r="Q137" s="216">
        <v>0</v>
      </c>
      <c r="R137" s="216">
        <v>0</v>
      </c>
    </row>
    <row r="138" spans="1:18" s="62" customFormat="1" ht="24" hidden="1" customHeight="1">
      <c r="A138" s="1227"/>
      <c r="B138" s="229" t="s">
        <v>551</v>
      </c>
      <c r="C138" s="1027"/>
      <c r="D138" s="1027"/>
      <c r="E138" s="443"/>
      <c r="F138" s="1231"/>
      <c r="G138" s="1232"/>
      <c r="H138" s="1231"/>
      <c r="I138" s="1352"/>
      <c r="J138" s="1198"/>
      <c r="K138" s="1243"/>
      <c r="L138" s="229"/>
      <c r="M138" s="229"/>
      <c r="N138" s="216">
        <v>0</v>
      </c>
      <c r="O138" s="216"/>
      <c r="P138" s="216">
        <v>0</v>
      </c>
      <c r="Q138" s="216">
        <v>0</v>
      </c>
      <c r="R138" s="216">
        <v>0</v>
      </c>
    </row>
    <row r="139" spans="1:18" s="62" customFormat="1" ht="144">
      <c r="A139" s="30" t="s">
        <v>1086</v>
      </c>
      <c r="B139" s="233"/>
      <c r="C139" s="1042" t="s">
        <v>306</v>
      </c>
      <c r="D139" s="1042" t="s">
        <v>298</v>
      </c>
      <c r="E139" s="1042" t="s">
        <v>47</v>
      </c>
      <c r="F139" s="1042" t="s">
        <v>304</v>
      </c>
      <c r="G139" s="1042" t="s">
        <v>299</v>
      </c>
      <c r="H139" s="1042" t="s">
        <v>190</v>
      </c>
      <c r="I139" s="868" t="s">
        <v>1467</v>
      </c>
      <c r="J139" s="868" t="s">
        <v>54</v>
      </c>
      <c r="K139" s="393" t="s">
        <v>347</v>
      </c>
      <c r="L139" s="229"/>
      <c r="M139" s="229"/>
      <c r="N139" s="216">
        <f>40556.617+1711.712</f>
        <v>42268.328999999998</v>
      </c>
      <c r="O139" s="216">
        <f>40432.556+1711.712</f>
        <v>42144.267999999996</v>
      </c>
      <c r="P139" s="216">
        <f>42810.95+3585.259</f>
        <v>46396.208999999995</v>
      </c>
      <c r="Q139" s="216">
        <f>43015.2</f>
        <v>43015.199999999997</v>
      </c>
      <c r="R139" s="216">
        <v>44077.4</v>
      </c>
    </row>
    <row r="140" spans="1:18" s="62" customFormat="1" ht="59.25" customHeight="1">
      <c r="A140" s="615"/>
      <c r="B140" s="233"/>
      <c r="C140" s="1083"/>
      <c r="D140" s="1083"/>
      <c r="E140" s="1083"/>
      <c r="F140" s="1083"/>
      <c r="G140" s="1083"/>
      <c r="H140" s="1083"/>
      <c r="I140" s="1083" t="s">
        <v>805</v>
      </c>
      <c r="J140" s="1083" t="s">
        <v>54</v>
      </c>
      <c r="K140" s="393" t="s">
        <v>760</v>
      </c>
      <c r="L140" s="229"/>
      <c r="M140" s="229"/>
      <c r="N140" s="216"/>
      <c r="O140" s="216"/>
      <c r="P140" s="216"/>
      <c r="Q140" s="216"/>
      <c r="R140" s="216"/>
    </row>
    <row r="141" spans="1:18" s="62" customFormat="1" ht="49.5" customHeight="1">
      <c r="A141" s="615"/>
      <c r="B141" s="233"/>
      <c r="C141" s="868"/>
      <c r="D141" s="868"/>
      <c r="E141" s="868"/>
      <c r="F141" s="127"/>
      <c r="G141" s="127"/>
      <c r="H141" s="127"/>
      <c r="I141" s="430" t="s">
        <v>281</v>
      </c>
      <c r="J141" s="430" t="s">
        <v>54</v>
      </c>
      <c r="K141" s="1058" t="s">
        <v>287</v>
      </c>
      <c r="L141" s="229"/>
      <c r="M141" s="229"/>
      <c r="N141" s="216"/>
      <c r="O141" s="216"/>
      <c r="P141" s="216"/>
      <c r="Q141" s="216"/>
      <c r="R141" s="216"/>
    </row>
    <row r="142" spans="1:18" s="62" customFormat="1" ht="48.75" customHeight="1">
      <c r="A142" s="615"/>
      <c r="B142" s="233"/>
      <c r="C142" s="868" t="s">
        <v>305</v>
      </c>
      <c r="D142" s="868" t="s">
        <v>522</v>
      </c>
      <c r="E142" s="868" t="s">
        <v>393</v>
      </c>
      <c r="F142" s="127"/>
      <c r="G142" s="127"/>
      <c r="H142" s="127"/>
      <c r="I142" s="430" t="s">
        <v>385</v>
      </c>
      <c r="J142" s="430" t="s">
        <v>54</v>
      </c>
      <c r="K142" s="1058" t="s">
        <v>386</v>
      </c>
      <c r="L142" s="1038"/>
      <c r="M142" s="1038"/>
      <c r="N142" s="216"/>
      <c r="O142" s="216"/>
      <c r="P142" s="216"/>
      <c r="Q142" s="216"/>
      <c r="R142" s="216"/>
    </row>
    <row r="143" spans="1:18" s="62" customFormat="1" ht="37.5" customHeight="1">
      <c r="A143" s="615"/>
      <c r="B143" s="233"/>
      <c r="C143" s="868"/>
      <c r="D143" s="868"/>
      <c r="E143" s="868"/>
      <c r="F143" s="868"/>
      <c r="G143" s="868"/>
      <c r="H143" s="868"/>
      <c r="I143" s="868" t="s">
        <v>70</v>
      </c>
      <c r="J143" s="868" t="s">
        <v>54</v>
      </c>
      <c r="K143" s="869" t="s">
        <v>57</v>
      </c>
      <c r="L143" s="1038"/>
      <c r="M143" s="1038"/>
      <c r="N143" s="216"/>
      <c r="O143" s="216"/>
      <c r="P143" s="216"/>
      <c r="Q143" s="216"/>
      <c r="R143" s="216"/>
    </row>
    <row r="144" spans="1:18" s="62" customFormat="1" ht="60.75" customHeight="1">
      <c r="A144" s="697"/>
      <c r="B144" s="240" t="s">
        <v>935</v>
      </c>
      <c r="C144" s="1042"/>
      <c r="D144" s="1042"/>
      <c r="E144" s="1042"/>
      <c r="F144" s="871"/>
      <c r="G144" s="1048"/>
      <c r="H144" s="1042"/>
      <c r="I144" s="999" t="s">
        <v>944</v>
      </c>
      <c r="J144" s="999" t="s">
        <v>54</v>
      </c>
      <c r="K144" s="838" t="s">
        <v>945</v>
      </c>
      <c r="L144" s="229"/>
      <c r="M144" s="229"/>
      <c r="N144" s="216">
        <v>477.88499999999999</v>
      </c>
      <c r="O144" s="216">
        <v>477.39600000000002</v>
      </c>
      <c r="P144" s="216">
        <v>2973.2</v>
      </c>
      <c r="Q144" s="216">
        <v>2973.2</v>
      </c>
      <c r="R144" s="216">
        <v>2973.2</v>
      </c>
    </row>
    <row r="145" spans="1:18" s="62" customFormat="1" ht="193.5" customHeight="1">
      <c r="A145" s="697"/>
      <c r="B145" s="297" t="s">
        <v>632</v>
      </c>
      <c r="C145" s="868"/>
      <c r="D145" s="868"/>
      <c r="E145" s="868"/>
      <c r="F145" s="871" t="s">
        <v>737</v>
      </c>
      <c r="G145" s="429" t="s">
        <v>56</v>
      </c>
      <c r="H145" s="868" t="s">
        <v>738</v>
      </c>
      <c r="I145" s="872" t="s">
        <v>1473</v>
      </c>
      <c r="J145" s="872" t="s">
        <v>54</v>
      </c>
      <c r="K145" s="838" t="s">
        <v>1408</v>
      </c>
      <c r="L145" s="229"/>
      <c r="M145" s="229"/>
      <c r="N145" s="216">
        <v>21340.843000000001</v>
      </c>
      <c r="O145" s="216">
        <v>21201.4</v>
      </c>
      <c r="P145" s="216">
        <v>21409.9</v>
      </c>
      <c r="Q145" s="216">
        <v>21244</v>
      </c>
      <c r="R145" s="216">
        <v>21234</v>
      </c>
    </row>
    <row r="146" spans="1:18" s="62" customFormat="1" ht="144">
      <c r="A146" s="697"/>
      <c r="B146" s="962" t="s">
        <v>1414</v>
      </c>
      <c r="C146" s="868" t="s">
        <v>305</v>
      </c>
      <c r="D146" s="868" t="s">
        <v>291</v>
      </c>
      <c r="E146" s="868" t="s">
        <v>292</v>
      </c>
      <c r="F146" s="868" t="s">
        <v>520</v>
      </c>
      <c r="G146" s="429" t="s">
        <v>54</v>
      </c>
      <c r="H146" s="868" t="s">
        <v>583</v>
      </c>
      <c r="I146" s="868" t="s">
        <v>1023</v>
      </c>
      <c r="J146" s="868" t="s">
        <v>54</v>
      </c>
      <c r="K146" s="869" t="s">
        <v>769</v>
      </c>
      <c r="L146" s="229"/>
      <c r="M146" s="229"/>
      <c r="N146" s="216">
        <v>248.70699999999999</v>
      </c>
      <c r="O146" s="216">
        <v>227.85</v>
      </c>
      <c r="P146" s="761">
        <v>265.85000000000002</v>
      </c>
      <c r="Q146" s="761">
        <v>265.85000000000002</v>
      </c>
      <c r="R146" s="761">
        <v>265.85000000000002</v>
      </c>
    </row>
    <row r="147" spans="1:18" s="62" customFormat="1" ht="48" customHeight="1">
      <c r="A147" s="30" t="s">
        <v>1087</v>
      </c>
      <c r="B147" s="297"/>
      <c r="C147" s="868" t="s">
        <v>305</v>
      </c>
      <c r="D147" s="868" t="s">
        <v>842</v>
      </c>
      <c r="E147" s="868" t="s">
        <v>393</v>
      </c>
      <c r="F147" s="1241" t="s">
        <v>283</v>
      </c>
      <c r="G147" s="1053" t="s">
        <v>284</v>
      </c>
      <c r="H147" s="1053" t="s">
        <v>267</v>
      </c>
      <c r="I147" s="868" t="s">
        <v>1022</v>
      </c>
      <c r="J147" s="868" t="s">
        <v>54</v>
      </c>
      <c r="K147" s="869" t="s">
        <v>423</v>
      </c>
      <c r="L147" s="229"/>
      <c r="M147" s="229"/>
      <c r="N147" s="216">
        <v>2397.3530000000001</v>
      </c>
      <c r="O147" s="216">
        <v>2258.2249999999999</v>
      </c>
      <c r="P147" s="216">
        <v>5085.3999999999996</v>
      </c>
      <c r="Q147" s="216">
        <v>5085.3999999999996</v>
      </c>
      <c r="R147" s="216">
        <v>5085.3999999999996</v>
      </c>
    </row>
    <row r="148" spans="1:18" s="62" customFormat="1" ht="72" customHeight="1">
      <c r="A148" s="30"/>
      <c r="B148" s="297"/>
      <c r="C148" s="868"/>
      <c r="D148" s="868"/>
      <c r="E148" s="868"/>
      <c r="F148" s="1241"/>
      <c r="G148" s="868"/>
      <c r="H148" s="868"/>
      <c r="I148" s="868" t="s">
        <v>718</v>
      </c>
      <c r="J148" s="868" t="s">
        <v>54</v>
      </c>
      <c r="K148" s="869" t="s">
        <v>350</v>
      </c>
      <c r="L148" s="229"/>
      <c r="M148" s="229"/>
      <c r="N148" s="216"/>
      <c r="O148" s="216"/>
      <c r="P148" s="216"/>
      <c r="Q148" s="216"/>
      <c r="R148" s="216"/>
    </row>
    <row r="149" spans="1:18" s="62" customFormat="1" ht="71.25" customHeight="1">
      <c r="A149" s="30"/>
      <c r="B149" s="297"/>
      <c r="C149" s="430"/>
      <c r="D149" s="430"/>
      <c r="E149" s="430"/>
      <c r="F149" s="430"/>
      <c r="G149" s="430"/>
      <c r="H149" s="430"/>
      <c r="I149" s="868" t="s">
        <v>1521</v>
      </c>
      <c r="J149" s="868" t="s">
        <v>54</v>
      </c>
      <c r="K149" s="393" t="s">
        <v>731</v>
      </c>
      <c r="L149" s="229"/>
      <c r="M149" s="229"/>
      <c r="N149" s="216"/>
      <c r="O149" s="216"/>
      <c r="P149" s="216"/>
      <c r="Q149" s="216"/>
      <c r="R149" s="216"/>
    </row>
    <row r="150" spans="1:18" s="62" customFormat="1" ht="84">
      <c r="A150" s="257"/>
      <c r="B150" s="962" t="s">
        <v>1413</v>
      </c>
      <c r="C150" s="872"/>
      <c r="D150" s="872"/>
      <c r="E150" s="872"/>
      <c r="F150" s="872"/>
      <c r="G150" s="872"/>
      <c r="H150" s="872"/>
      <c r="I150" s="871" t="s">
        <v>1019</v>
      </c>
      <c r="J150" s="871" t="s">
        <v>54</v>
      </c>
      <c r="K150" s="963" t="s">
        <v>841</v>
      </c>
      <c r="L150" s="760"/>
      <c r="M150" s="760"/>
      <c r="N150" s="216">
        <v>3000.462</v>
      </c>
      <c r="O150" s="216">
        <v>2983.9229999999998</v>
      </c>
      <c r="P150" s="761">
        <v>2242.6</v>
      </c>
      <c r="Q150" s="761">
        <v>2242.6</v>
      </c>
      <c r="R150" s="761">
        <v>2242.6</v>
      </c>
    </row>
    <row r="151" spans="1:18" s="62" customFormat="1" ht="180" customHeight="1">
      <c r="A151" s="1050"/>
      <c r="B151" s="233" t="s">
        <v>834</v>
      </c>
      <c r="C151" s="1083"/>
      <c r="D151" s="1083"/>
      <c r="E151" s="1083"/>
      <c r="F151" s="868" t="s">
        <v>733</v>
      </c>
      <c r="G151" s="429" t="s">
        <v>736</v>
      </c>
      <c r="H151" s="868" t="s">
        <v>615</v>
      </c>
      <c r="I151" s="1084" t="s">
        <v>1020</v>
      </c>
      <c r="J151" s="1084" t="s">
        <v>54</v>
      </c>
      <c r="K151" s="1058" t="s">
        <v>851</v>
      </c>
      <c r="L151" s="229"/>
      <c r="M151" s="229"/>
      <c r="N151" s="216">
        <v>7175.81</v>
      </c>
      <c r="O151" s="216">
        <v>6482.2110000000002</v>
      </c>
      <c r="P151" s="216">
        <v>8568.35</v>
      </c>
      <c r="Q151" s="216">
        <v>8556.7999999999993</v>
      </c>
      <c r="R151" s="216">
        <v>8580.2999999999993</v>
      </c>
    </row>
    <row r="152" spans="1:18" s="62" customFormat="1" ht="85.5" customHeight="1">
      <c r="A152" s="1359" t="s">
        <v>1417</v>
      </c>
      <c r="B152" s="240" t="s">
        <v>822</v>
      </c>
      <c r="C152" s="1042"/>
      <c r="D152" s="1042"/>
      <c r="E152" s="1042"/>
      <c r="F152" s="1361" t="s">
        <v>733</v>
      </c>
      <c r="G152" s="1360" t="s">
        <v>825</v>
      </c>
      <c r="H152" s="1361" t="s">
        <v>826</v>
      </c>
      <c r="I152" s="1362" t="s">
        <v>1024</v>
      </c>
      <c r="J152" s="1362" t="s">
        <v>54</v>
      </c>
      <c r="K152" s="1396" t="s">
        <v>824</v>
      </c>
      <c r="L152" s="229"/>
      <c r="M152" s="229"/>
      <c r="N152" s="216">
        <v>2073.6529999999998</v>
      </c>
      <c r="O152" s="216">
        <v>2073.6439999999998</v>
      </c>
      <c r="P152" s="216">
        <v>2073.66</v>
      </c>
      <c r="Q152" s="216">
        <v>2073.66</v>
      </c>
      <c r="R152" s="216">
        <v>2348.5700000000002</v>
      </c>
    </row>
    <row r="153" spans="1:18" s="62" customFormat="1" ht="82.5" customHeight="1">
      <c r="A153" s="1359"/>
      <c r="B153" s="964" t="s">
        <v>823</v>
      </c>
      <c r="C153" s="965"/>
      <c r="D153" s="965"/>
      <c r="E153" s="965"/>
      <c r="F153" s="1361"/>
      <c r="G153" s="1360"/>
      <c r="H153" s="1361"/>
      <c r="I153" s="1362"/>
      <c r="J153" s="1362"/>
      <c r="K153" s="1396"/>
      <c r="L153" s="921"/>
      <c r="M153" s="921"/>
      <c r="N153" s="216">
        <v>64.134</v>
      </c>
      <c r="O153" s="216">
        <v>64.134</v>
      </c>
      <c r="P153" s="216">
        <v>64.14</v>
      </c>
      <c r="Q153" s="216">
        <v>64.14</v>
      </c>
      <c r="R153" s="216">
        <v>226.54</v>
      </c>
    </row>
    <row r="154" spans="1:18" s="62" customFormat="1" ht="13.5" customHeight="1">
      <c r="A154" s="602" t="s">
        <v>988</v>
      </c>
      <c r="B154" s="240"/>
      <c r="C154" s="1042"/>
      <c r="D154" s="1042"/>
      <c r="E154" s="1042"/>
      <c r="F154" s="875"/>
      <c r="G154" s="1048"/>
      <c r="H154" s="1042"/>
      <c r="I154" s="876"/>
      <c r="J154" s="876"/>
      <c r="K154" s="877"/>
      <c r="L154" s="229"/>
      <c r="M154" s="229"/>
      <c r="N154" s="216"/>
      <c r="O154" s="216"/>
      <c r="P154" s="216"/>
      <c r="Q154" s="216"/>
      <c r="R154" s="216"/>
    </row>
    <row r="155" spans="1:18" s="62" customFormat="1" ht="26.25" customHeight="1">
      <c r="A155" s="203" t="s">
        <v>1418</v>
      </c>
      <c r="B155" s="436"/>
      <c r="C155" s="1029"/>
      <c r="D155" s="1029"/>
      <c r="E155" s="1029"/>
      <c r="F155" s="364"/>
      <c r="G155" s="1029"/>
      <c r="H155" s="1029"/>
      <c r="I155" s="1029"/>
      <c r="J155" s="1029"/>
      <c r="K155" s="284"/>
      <c r="L155" s="229"/>
      <c r="M155" s="229"/>
      <c r="N155" s="216"/>
      <c r="O155" s="216"/>
      <c r="P155" s="216"/>
      <c r="Q155" s="216"/>
      <c r="R155" s="216"/>
    </row>
    <row r="156" spans="1:18" s="62" customFormat="1" ht="120" customHeight="1">
      <c r="A156" s="257"/>
      <c r="B156" s="436" t="s">
        <v>360</v>
      </c>
      <c r="C156" s="1038"/>
      <c r="D156" s="1038"/>
      <c r="E156" s="1038"/>
      <c r="F156" s="1210" t="s">
        <v>391</v>
      </c>
      <c r="G156" s="1213" t="s">
        <v>530</v>
      </c>
      <c r="H156" s="1213" t="s">
        <v>392</v>
      </c>
      <c r="I156" s="1029" t="s">
        <v>874</v>
      </c>
      <c r="J156" s="1029" t="s">
        <v>54</v>
      </c>
      <c r="K156" s="284" t="s">
        <v>875</v>
      </c>
      <c r="L156" s="335"/>
      <c r="M156" s="335"/>
      <c r="N156" s="337">
        <v>38.56</v>
      </c>
      <c r="O156" s="485">
        <v>38.56</v>
      </c>
      <c r="P156" s="337">
        <v>0</v>
      </c>
      <c r="Q156" s="337">
        <v>0</v>
      </c>
      <c r="R156" s="337">
        <v>0</v>
      </c>
    </row>
    <row r="157" spans="1:18" s="62" customFormat="1" ht="99" hidden="1" customHeight="1">
      <c r="A157" s="184"/>
      <c r="B157" s="436" t="s">
        <v>709</v>
      </c>
      <c r="C157" s="1029"/>
      <c r="D157" s="1029"/>
      <c r="E157" s="1029"/>
      <c r="F157" s="1210"/>
      <c r="G157" s="1213"/>
      <c r="H157" s="1213"/>
      <c r="I157" s="1029" t="s">
        <v>710</v>
      </c>
      <c r="J157" s="1029" t="s">
        <v>54</v>
      </c>
      <c r="K157" s="1029" t="s">
        <v>711</v>
      </c>
      <c r="L157" s="205" t="s">
        <v>36</v>
      </c>
      <c r="M157" s="199" t="s">
        <v>31</v>
      </c>
      <c r="N157" s="200"/>
      <c r="O157" s="485"/>
      <c r="P157" s="200"/>
      <c r="Q157" s="200"/>
      <c r="R157" s="200"/>
    </row>
    <row r="158" spans="1:18" s="62" customFormat="1" ht="100.5" hidden="1" customHeight="1">
      <c r="A158" s="204"/>
      <c r="B158" s="202" t="s">
        <v>728</v>
      </c>
      <c r="C158" s="1057"/>
      <c r="D158" s="1057"/>
      <c r="E158" s="1057"/>
      <c r="F158" s="209"/>
      <c r="G158" s="1057"/>
      <c r="H158" s="1057"/>
      <c r="I158" s="1029" t="s">
        <v>739</v>
      </c>
      <c r="J158" s="1057" t="s">
        <v>54</v>
      </c>
      <c r="K158" s="1057" t="s">
        <v>730</v>
      </c>
      <c r="L158" s="205" t="s">
        <v>36</v>
      </c>
      <c r="M158" s="202" t="s">
        <v>31</v>
      </c>
      <c r="N158" s="210"/>
      <c r="O158" s="485"/>
      <c r="P158" s="210"/>
      <c r="Q158" s="210"/>
      <c r="R158" s="210"/>
    </row>
    <row r="159" spans="1:18" s="62" customFormat="1" ht="82.5" customHeight="1">
      <c r="A159" s="101" t="s">
        <v>692</v>
      </c>
      <c r="B159" s="82" t="s">
        <v>432</v>
      </c>
      <c r="C159" s="102"/>
      <c r="D159" s="102"/>
      <c r="E159" s="102"/>
      <c r="F159" s="102"/>
      <c r="G159" s="102"/>
      <c r="H159" s="103"/>
      <c r="I159" s="102"/>
      <c r="J159" s="102"/>
      <c r="K159" s="103"/>
      <c r="L159" s="450" t="s">
        <v>36</v>
      </c>
      <c r="M159" s="450" t="s">
        <v>35</v>
      </c>
      <c r="N159" s="49">
        <f>SUM(N160:N177)</f>
        <v>112067.93200000002</v>
      </c>
      <c r="O159" s="49">
        <f>SUM(O160:O177)</f>
        <v>111912.54000000002</v>
      </c>
      <c r="P159" s="49">
        <f>SUM(P160:P177)</f>
        <v>116407.73400000001</v>
      </c>
      <c r="Q159" s="49">
        <f>SUM(Q160:Q177)</f>
        <v>49682.899999999994</v>
      </c>
      <c r="R159" s="49">
        <f>SUM(R160:R177)</f>
        <v>49900.899999999994</v>
      </c>
    </row>
    <row r="160" spans="1:18" s="62" customFormat="1" ht="12.75" customHeight="1">
      <c r="A160" s="603" t="s">
        <v>985</v>
      </c>
      <c r="B160" s="438"/>
      <c r="C160" s="1234" t="s">
        <v>306</v>
      </c>
      <c r="D160" s="1234" t="s">
        <v>279</v>
      </c>
      <c r="E160" s="1234" t="s">
        <v>47</v>
      </c>
      <c r="F160" s="1234" t="s">
        <v>304</v>
      </c>
      <c r="G160" s="1234" t="s">
        <v>280</v>
      </c>
      <c r="H160" s="1234" t="s">
        <v>190</v>
      </c>
      <c r="I160" s="1049"/>
      <c r="J160" s="1049"/>
      <c r="K160" s="1049"/>
      <c r="L160" s="521"/>
      <c r="M160" s="521"/>
      <c r="N160" s="552"/>
      <c r="O160" s="552"/>
      <c r="P160" s="552"/>
      <c r="Q160" s="552"/>
      <c r="R160" s="552"/>
    </row>
    <row r="161" spans="1:18" s="62" customFormat="1" ht="36.75" customHeight="1">
      <c r="A161" s="583" t="s">
        <v>1088</v>
      </c>
      <c r="B161" s="229"/>
      <c r="C161" s="1198"/>
      <c r="D161" s="1198"/>
      <c r="E161" s="1198"/>
      <c r="F161" s="1198"/>
      <c r="G161" s="1198"/>
      <c r="H161" s="1198"/>
      <c r="I161" s="1198" t="s">
        <v>1525</v>
      </c>
      <c r="J161" s="1027" t="s">
        <v>955</v>
      </c>
      <c r="K161" s="1027" t="s">
        <v>731</v>
      </c>
      <c r="L161" s="229"/>
      <c r="M161" s="229"/>
      <c r="N161" s="216"/>
      <c r="O161" s="216"/>
      <c r="P161" s="216"/>
      <c r="Q161" s="216"/>
      <c r="R161" s="216"/>
    </row>
    <row r="162" spans="1:18" s="62" customFormat="1" ht="36" customHeight="1">
      <c r="A162" s="228" t="s">
        <v>1089</v>
      </c>
      <c r="B162" s="229"/>
      <c r="C162" s="1027"/>
      <c r="D162" s="1027"/>
      <c r="E162" s="1027"/>
      <c r="F162" s="1027"/>
      <c r="G162" s="1027"/>
      <c r="H162" s="1027"/>
      <c r="I162" s="1198"/>
      <c r="J162" s="1027"/>
      <c r="K162" s="1027"/>
      <c r="L162" s="229"/>
      <c r="M162" s="229"/>
      <c r="N162" s="216">
        <v>18</v>
      </c>
      <c r="O162" s="216">
        <v>18</v>
      </c>
      <c r="P162" s="216">
        <v>19</v>
      </c>
      <c r="Q162" s="216">
        <v>19</v>
      </c>
      <c r="R162" s="216">
        <v>20</v>
      </c>
    </row>
    <row r="163" spans="1:18" s="62" customFormat="1" ht="36" customHeight="1">
      <c r="A163" s="228" t="s">
        <v>1090</v>
      </c>
      <c r="B163" s="229"/>
      <c r="C163" s="1027"/>
      <c r="D163" s="1027"/>
      <c r="E163" s="1027"/>
      <c r="F163" s="1027"/>
      <c r="G163" s="1027"/>
      <c r="H163" s="1027"/>
      <c r="I163" s="1027"/>
      <c r="J163" s="1027"/>
      <c r="K163" s="1027"/>
      <c r="L163" s="229"/>
      <c r="M163" s="229"/>
      <c r="N163" s="216">
        <v>7</v>
      </c>
      <c r="O163" s="216">
        <v>7</v>
      </c>
      <c r="P163" s="216">
        <v>7</v>
      </c>
      <c r="Q163" s="216">
        <v>7</v>
      </c>
      <c r="R163" s="216">
        <v>7</v>
      </c>
    </row>
    <row r="164" spans="1:18" s="62" customFormat="1" ht="39" customHeight="1">
      <c r="A164" s="228" t="s">
        <v>1091</v>
      </c>
      <c r="B164" s="229"/>
      <c r="C164" s="1027"/>
      <c r="D164" s="1027"/>
      <c r="E164" s="1027"/>
      <c r="F164" s="1027"/>
      <c r="G164" s="1027"/>
      <c r="H164" s="1027"/>
      <c r="I164" s="1027"/>
      <c r="J164" s="1027"/>
      <c r="K164" s="1027"/>
      <c r="L164" s="229"/>
      <c r="M164" s="229"/>
      <c r="N164" s="216">
        <v>467</v>
      </c>
      <c r="O164" s="216">
        <v>467</v>
      </c>
      <c r="P164" s="216">
        <v>558.6</v>
      </c>
      <c r="Q164" s="216">
        <v>565.6</v>
      </c>
      <c r="R164" s="216">
        <v>566.6</v>
      </c>
    </row>
    <row r="165" spans="1:18" s="62" customFormat="1" ht="39" customHeight="1">
      <c r="A165" s="228" t="s">
        <v>1095</v>
      </c>
      <c r="B165" s="229"/>
      <c r="C165" s="1027"/>
      <c r="D165" s="1027"/>
      <c r="E165" s="1027"/>
      <c r="F165" s="1027"/>
      <c r="G165" s="1027"/>
      <c r="H165" s="1027"/>
      <c r="I165" s="1027"/>
      <c r="J165" s="1027"/>
      <c r="K165" s="1027"/>
      <c r="L165" s="229"/>
      <c r="M165" s="229"/>
      <c r="N165" s="216">
        <v>0</v>
      </c>
      <c r="O165" s="216">
        <v>0</v>
      </c>
      <c r="P165" s="216">
        <v>532.5</v>
      </c>
      <c r="Q165" s="216">
        <v>0</v>
      </c>
      <c r="R165" s="216">
        <v>0</v>
      </c>
    </row>
    <row r="166" spans="1:18" s="62" customFormat="1" ht="73.5" customHeight="1">
      <c r="A166" s="583" t="s">
        <v>1092</v>
      </c>
      <c r="B166" s="229"/>
      <c r="C166" s="1198"/>
      <c r="D166" s="1027"/>
      <c r="E166" s="1027"/>
      <c r="F166" s="1027"/>
      <c r="G166" s="1027"/>
      <c r="H166" s="1027"/>
      <c r="I166" s="1027" t="s">
        <v>1521</v>
      </c>
      <c r="J166" s="1027" t="s">
        <v>54</v>
      </c>
      <c r="K166" s="1027" t="s">
        <v>731</v>
      </c>
      <c r="L166" s="229"/>
      <c r="M166" s="229"/>
      <c r="N166" s="216"/>
      <c r="O166" s="216"/>
      <c r="P166" s="216"/>
      <c r="Q166" s="216"/>
      <c r="R166" s="216"/>
    </row>
    <row r="167" spans="1:18" s="62" customFormat="1" ht="61.5" customHeight="1">
      <c r="A167" s="228" t="s">
        <v>1093</v>
      </c>
      <c r="B167" s="229"/>
      <c r="C167" s="1198"/>
      <c r="D167" s="1027"/>
      <c r="E167" s="1027"/>
      <c r="F167" s="1027"/>
      <c r="G167" s="1027"/>
      <c r="H167" s="1027"/>
      <c r="I167" s="1027" t="s">
        <v>555</v>
      </c>
      <c r="J167" s="1027" t="s">
        <v>54</v>
      </c>
      <c r="K167" s="1034" t="s">
        <v>344</v>
      </c>
      <c r="L167" s="229"/>
      <c r="M167" s="229"/>
      <c r="N167" s="216">
        <v>116.316</v>
      </c>
      <c r="O167" s="216">
        <v>116.316</v>
      </c>
      <c r="P167" s="216">
        <v>301</v>
      </c>
      <c r="Q167" s="216">
        <v>85</v>
      </c>
      <c r="R167" s="216">
        <v>301</v>
      </c>
    </row>
    <row r="168" spans="1:18" s="62" customFormat="1" ht="71.25" customHeight="1">
      <c r="A168" s="228" t="s">
        <v>1094</v>
      </c>
      <c r="B168" s="229"/>
      <c r="C168" s="1027"/>
      <c r="D168" s="1027"/>
      <c r="E168" s="1027"/>
      <c r="F168" s="1027"/>
      <c r="G168" s="1027"/>
      <c r="H168" s="1027"/>
      <c r="I168" s="1027" t="s">
        <v>521</v>
      </c>
      <c r="J168" s="1027" t="s">
        <v>54</v>
      </c>
      <c r="K168" s="1034" t="s">
        <v>267</v>
      </c>
      <c r="L168" s="229"/>
      <c r="M168" s="229"/>
      <c r="N168" s="216">
        <f>3891.2+68480.916+3111.8</f>
        <v>75483.915999999997</v>
      </c>
      <c r="O168" s="216">
        <f>3891.2+68480.916+3111.8</f>
        <v>75483.915999999997</v>
      </c>
      <c r="P168" s="216">
        <f>65671.634+5058.2</f>
        <v>70729.834000000003</v>
      </c>
      <c r="Q168" s="216">
        <f>41717+5058.2</f>
        <v>46775.199999999997</v>
      </c>
      <c r="R168" s="216">
        <f>41717+5058.2</f>
        <v>46775.199999999997</v>
      </c>
    </row>
    <row r="169" spans="1:18" s="62" customFormat="1" ht="60" customHeight="1">
      <c r="A169" s="228"/>
      <c r="B169" s="229"/>
      <c r="C169" s="1027" t="s">
        <v>306</v>
      </c>
      <c r="D169" s="1027" t="s">
        <v>301</v>
      </c>
      <c r="E169" s="1027" t="s">
        <v>113</v>
      </c>
      <c r="F169" s="1198" t="s">
        <v>304</v>
      </c>
      <c r="G169" s="1198" t="s">
        <v>285</v>
      </c>
      <c r="H169" s="1198" t="s">
        <v>190</v>
      </c>
      <c r="I169" s="1027" t="s">
        <v>303</v>
      </c>
      <c r="J169" s="1027" t="s">
        <v>54</v>
      </c>
      <c r="K169" s="1034" t="s">
        <v>47</v>
      </c>
      <c r="L169" s="229"/>
      <c r="M169" s="229"/>
      <c r="N169" s="216"/>
      <c r="O169" s="216"/>
      <c r="P169" s="216"/>
      <c r="Q169" s="216"/>
      <c r="R169" s="216"/>
    </row>
    <row r="170" spans="1:18" s="62" customFormat="1" ht="38.25" customHeight="1">
      <c r="A170" s="228"/>
      <c r="B170" s="229"/>
      <c r="C170" s="1242" t="s">
        <v>305</v>
      </c>
      <c r="D170" s="1242" t="s">
        <v>302</v>
      </c>
      <c r="E170" s="1242" t="s">
        <v>190</v>
      </c>
      <c r="F170" s="1198"/>
      <c r="G170" s="1198"/>
      <c r="H170" s="1198"/>
      <c r="I170" s="1027" t="s">
        <v>70</v>
      </c>
      <c r="J170" s="1027" t="s">
        <v>54</v>
      </c>
      <c r="K170" s="1034" t="s">
        <v>289</v>
      </c>
      <c r="L170" s="229"/>
      <c r="M170" s="229"/>
      <c r="N170" s="216"/>
      <c r="O170" s="216"/>
      <c r="P170" s="216"/>
      <c r="Q170" s="216"/>
      <c r="R170" s="216"/>
    </row>
    <row r="171" spans="1:18" s="62" customFormat="1" ht="71.25" customHeight="1">
      <c r="A171" s="228"/>
      <c r="B171" s="229"/>
      <c r="C171" s="1242"/>
      <c r="D171" s="1242"/>
      <c r="E171" s="1242"/>
      <c r="F171" s="1027"/>
      <c r="G171" s="1027"/>
      <c r="H171" s="1027"/>
      <c r="I171" s="1027" t="s">
        <v>805</v>
      </c>
      <c r="J171" s="1027" t="s">
        <v>54</v>
      </c>
      <c r="K171" s="1034" t="s">
        <v>760</v>
      </c>
      <c r="L171" s="229"/>
      <c r="M171" s="229"/>
      <c r="N171" s="216"/>
      <c r="O171" s="216"/>
      <c r="P171" s="216"/>
      <c r="Q171" s="216"/>
      <c r="R171" s="216"/>
    </row>
    <row r="172" spans="1:18" s="62" customFormat="1" ht="91.5" customHeight="1">
      <c r="A172" s="1227"/>
      <c r="B172" s="229" t="s">
        <v>1419</v>
      </c>
      <c r="C172" s="1213"/>
      <c r="D172" s="1213"/>
      <c r="E172" s="1213"/>
      <c r="F172" s="1198" t="s">
        <v>585</v>
      </c>
      <c r="G172" s="1027" t="s">
        <v>740</v>
      </c>
      <c r="H172" s="1027" t="s">
        <v>615</v>
      </c>
      <c r="I172" s="1198" t="s">
        <v>1524</v>
      </c>
      <c r="J172" s="1198" t="s">
        <v>54</v>
      </c>
      <c r="K172" s="1206" t="s">
        <v>1421</v>
      </c>
      <c r="L172" s="229"/>
      <c r="M172" s="229"/>
      <c r="N172" s="216">
        <v>33546</v>
      </c>
      <c r="O172" s="216">
        <v>33456.408000000003</v>
      </c>
      <c r="P172" s="216">
        <v>42028.7</v>
      </c>
      <c r="Q172" s="216">
        <v>0</v>
      </c>
      <c r="R172" s="216">
        <v>0</v>
      </c>
    </row>
    <row r="173" spans="1:18" s="62" customFormat="1" ht="89.25" customHeight="1">
      <c r="A173" s="1227"/>
      <c r="B173" s="229"/>
      <c r="C173" s="1213"/>
      <c r="D173" s="1213"/>
      <c r="E173" s="1213"/>
      <c r="F173" s="1198"/>
      <c r="G173" s="441"/>
      <c r="H173" s="291"/>
      <c r="I173" s="1198"/>
      <c r="J173" s="1198"/>
      <c r="K173" s="1206"/>
      <c r="L173" s="229"/>
      <c r="M173" s="229"/>
      <c r="N173" s="216"/>
      <c r="O173" s="216"/>
      <c r="P173" s="216"/>
      <c r="Q173" s="216"/>
      <c r="R173" s="216"/>
    </row>
    <row r="174" spans="1:18" s="62" customFormat="1" ht="132" customHeight="1">
      <c r="A174" s="228"/>
      <c r="B174" s="229" t="s">
        <v>1420</v>
      </c>
      <c r="C174" s="1038"/>
      <c r="D174" s="1038"/>
      <c r="E174" s="1038"/>
      <c r="F174" s="1027" t="s">
        <v>585</v>
      </c>
      <c r="G174" s="1027" t="s">
        <v>741</v>
      </c>
      <c r="H174" s="1027" t="s">
        <v>615</v>
      </c>
      <c r="I174" s="1027" t="s">
        <v>1025</v>
      </c>
      <c r="J174" s="1027" t="s">
        <v>54</v>
      </c>
      <c r="K174" s="1034" t="s">
        <v>1421</v>
      </c>
      <c r="L174" s="229"/>
      <c r="M174" s="229"/>
      <c r="N174" s="216">
        <v>2219.6</v>
      </c>
      <c r="O174" s="216">
        <v>2153.8000000000002</v>
      </c>
      <c r="P174" s="216">
        <v>2231.1</v>
      </c>
      <c r="Q174" s="216">
        <v>2231.1</v>
      </c>
      <c r="R174" s="216">
        <v>2231.1</v>
      </c>
    </row>
    <row r="175" spans="1:18" s="62" customFormat="1" ht="11.25" customHeight="1">
      <c r="A175" s="583" t="s">
        <v>986</v>
      </c>
      <c r="B175" s="229"/>
      <c r="C175" s="1027"/>
      <c r="D175" s="1027"/>
      <c r="E175" s="1027"/>
      <c r="F175" s="1027"/>
      <c r="G175" s="1027"/>
      <c r="H175" s="1027"/>
      <c r="I175" s="1027"/>
      <c r="J175" s="1027"/>
      <c r="K175" s="1034"/>
      <c r="L175" s="229"/>
      <c r="M175" s="229"/>
      <c r="N175" s="216"/>
      <c r="O175" s="216"/>
      <c r="P175" s="216"/>
      <c r="Q175" s="216"/>
      <c r="R175" s="216"/>
    </row>
    <row r="176" spans="1:18" s="62" customFormat="1" ht="23.25" customHeight="1">
      <c r="A176" s="228" t="s">
        <v>1422</v>
      </c>
      <c r="B176" s="229"/>
      <c r="C176" s="1038"/>
      <c r="D176" s="1038"/>
      <c r="E176" s="1038"/>
      <c r="F176" s="1027"/>
      <c r="G176" s="1038"/>
      <c r="H176" s="1038"/>
      <c r="I176" s="1038"/>
      <c r="J176" s="1038"/>
      <c r="K176" s="1038"/>
      <c r="L176" s="229"/>
      <c r="M176" s="229"/>
      <c r="N176" s="216"/>
      <c r="O176" s="216"/>
      <c r="P176" s="216"/>
      <c r="Q176" s="216"/>
      <c r="R176" s="216"/>
    </row>
    <row r="177" spans="1:18" s="62" customFormat="1" ht="118.5" customHeight="1">
      <c r="A177" s="228"/>
      <c r="B177" s="335" t="s">
        <v>390</v>
      </c>
      <c r="C177" s="1038"/>
      <c r="D177" s="1038"/>
      <c r="E177" s="1038"/>
      <c r="F177" s="1036" t="s">
        <v>391</v>
      </c>
      <c r="G177" s="1038" t="s">
        <v>530</v>
      </c>
      <c r="H177" s="1038" t="s">
        <v>392</v>
      </c>
      <c r="I177" s="546" t="s">
        <v>938</v>
      </c>
      <c r="J177" s="546" t="s">
        <v>54</v>
      </c>
      <c r="K177" s="546" t="s">
        <v>939</v>
      </c>
      <c r="L177" s="335"/>
      <c r="M177" s="335"/>
      <c r="N177" s="337">
        <v>210.1</v>
      </c>
      <c r="O177" s="485">
        <v>210.1</v>
      </c>
      <c r="P177" s="337">
        <v>0</v>
      </c>
      <c r="Q177" s="337">
        <v>0</v>
      </c>
      <c r="R177" s="337">
        <v>0</v>
      </c>
    </row>
    <row r="178" spans="1:18" s="62" customFormat="1" ht="48" customHeight="1">
      <c r="A178" s="448" t="s">
        <v>433</v>
      </c>
      <c r="B178" s="82" t="s">
        <v>416</v>
      </c>
      <c r="C178" s="102"/>
      <c r="D178" s="102"/>
      <c r="E178" s="102"/>
      <c r="F178" s="102"/>
      <c r="G178" s="102"/>
      <c r="H178" s="103"/>
      <c r="I178" s="102"/>
      <c r="J178" s="102"/>
      <c r="K178" s="103"/>
      <c r="L178" s="236" t="s">
        <v>36</v>
      </c>
      <c r="M178" s="449" t="s">
        <v>33</v>
      </c>
      <c r="N178" s="49">
        <f t="shared" ref="N178:R178" si="6">SUM(N179:N183)</f>
        <v>9271.34</v>
      </c>
      <c r="O178" s="49">
        <f t="shared" si="6"/>
        <v>9269.9779999999992</v>
      </c>
      <c r="P178" s="49">
        <f t="shared" si="6"/>
        <v>10226.299999999999</v>
      </c>
      <c r="Q178" s="49">
        <f t="shared" si="6"/>
        <v>10226.299999999999</v>
      </c>
      <c r="R178" s="49">
        <f t="shared" si="6"/>
        <v>10226.299999999999</v>
      </c>
    </row>
    <row r="179" spans="1:18" s="62" customFormat="1" ht="12.75" customHeight="1">
      <c r="A179" s="603" t="s">
        <v>1096</v>
      </c>
      <c r="B179" s="450"/>
      <c r="C179" s="1228" t="s">
        <v>306</v>
      </c>
      <c r="D179" s="1234" t="s">
        <v>279</v>
      </c>
      <c r="E179" s="1228" t="s">
        <v>47</v>
      </c>
      <c r="F179" s="1353" t="s">
        <v>586</v>
      </c>
      <c r="G179" s="1228" t="s">
        <v>587</v>
      </c>
      <c r="H179" s="1228" t="s">
        <v>615</v>
      </c>
      <c r="I179" s="1049"/>
      <c r="J179" s="1049"/>
      <c r="K179" s="533"/>
      <c r="L179" s="438"/>
      <c r="M179" s="438"/>
      <c r="N179" s="519"/>
      <c r="O179" s="519"/>
      <c r="P179" s="552"/>
      <c r="Q179" s="552"/>
      <c r="R179" s="609"/>
    </row>
    <row r="180" spans="1:18" s="96" customFormat="1" ht="26.25" customHeight="1">
      <c r="A180" s="583" t="s">
        <v>1097</v>
      </c>
      <c r="B180" s="604"/>
      <c r="C180" s="1198"/>
      <c r="D180" s="1198"/>
      <c r="E180" s="1198"/>
      <c r="F180" s="1354"/>
      <c r="G180" s="1198"/>
      <c r="H180" s="1198"/>
      <c r="I180" s="1198" t="s">
        <v>1521</v>
      </c>
      <c r="J180" s="1027" t="s">
        <v>54</v>
      </c>
      <c r="K180" s="1034" t="s">
        <v>731</v>
      </c>
      <c r="L180" s="605"/>
      <c r="M180" s="605"/>
      <c r="N180" s="606"/>
      <c r="O180" s="606"/>
      <c r="P180" s="607"/>
      <c r="Q180" s="607"/>
      <c r="R180" s="608"/>
    </row>
    <row r="181" spans="1:18" s="62" customFormat="1" ht="46.5" customHeight="1">
      <c r="A181" s="228" t="s">
        <v>1098</v>
      </c>
      <c r="B181" s="399"/>
      <c r="C181" s="1198"/>
      <c r="D181" s="1027"/>
      <c r="E181" s="1198"/>
      <c r="F181" s="1354"/>
      <c r="G181" s="1198"/>
      <c r="H181" s="1198"/>
      <c r="I181" s="1198"/>
      <c r="J181" s="1027"/>
      <c r="K181" s="1034"/>
      <c r="L181" s="229"/>
      <c r="M181" s="229"/>
      <c r="N181" s="216">
        <f>3075.928+929.312</f>
        <v>4005.24</v>
      </c>
      <c r="O181" s="216">
        <f>3075.928+929.312</f>
        <v>4005.24</v>
      </c>
      <c r="P181" s="216">
        <v>4935.6000000000004</v>
      </c>
      <c r="Q181" s="216">
        <v>4935.6000000000004</v>
      </c>
      <c r="R181" s="67">
        <v>4935.6000000000004</v>
      </c>
    </row>
    <row r="182" spans="1:18" s="62" customFormat="1" ht="47.25" customHeight="1">
      <c r="A182" s="228"/>
      <c r="B182" s="1038"/>
      <c r="C182" s="1027"/>
      <c r="D182" s="1027"/>
      <c r="E182" s="1027"/>
      <c r="F182" s="1101"/>
      <c r="G182" s="1027"/>
      <c r="H182" s="1027"/>
      <c r="I182" s="1027" t="s">
        <v>707</v>
      </c>
      <c r="J182" s="1027" t="s">
        <v>563</v>
      </c>
      <c r="K182" s="1034" t="s">
        <v>564</v>
      </c>
      <c r="L182" s="229"/>
      <c r="M182" s="229"/>
      <c r="N182" s="216"/>
      <c r="O182" s="216"/>
      <c r="P182" s="216"/>
      <c r="Q182" s="216"/>
      <c r="R182" s="67"/>
    </row>
    <row r="183" spans="1:18" s="62" customFormat="1" ht="36.75" customHeight="1">
      <c r="A183" s="378"/>
      <c r="B183" s="335" t="s">
        <v>1426</v>
      </c>
      <c r="C183" s="546"/>
      <c r="D183" s="546"/>
      <c r="E183" s="546"/>
      <c r="F183" s="451"/>
      <c r="G183" s="452"/>
      <c r="H183" s="452"/>
      <c r="I183" s="803" t="s">
        <v>727</v>
      </c>
      <c r="J183" s="803" t="s">
        <v>54</v>
      </c>
      <c r="K183" s="453" t="s">
        <v>708</v>
      </c>
      <c r="L183" s="335"/>
      <c r="M183" s="335"/>
      <c r="N183" s="337">
        <v>5266.1</v>
      </c>
      <c r="O183" s="485">
        <v>5264.7380000000003</v>
      </c>
      <c r="P183" s="337">
        <v>5290.7</v>
      </c>
      <c r="Q183" s="337">
        <v>5290.7</v>
      </c>
      <c r="R183" s="751">
        <v>5290.7</v>
      </c>
    </row>
    <row r="184" spans="1:18" s="62" customFormat="1" ht="169.5" customHeight="1">
      <c r="A184" s="1067" t="s">
        <v>434</v>
      </c>
      <c r="B184" s="800" t="s">
        <v>37</v>
      </c>
      <c r="C184" s="128"/>
      <c r="D184" s="129"/>
      <c r="E184" s="66"/>
      <c r="F184" s="66"/>
      <c r="G184" s="66"/>
      <c r="H184" s="89"/>
      <c r="I184" s="128"/>
      <c r="J184" s="85"/>
      <c r="K184" s="86"/>
      <c r="L184" s="800"/>
      <c r="M184" s="800"/>
      <c r="N184" s="17">
        <f>SUM(N185:N188)</f>
        <v>909.19999999999993</v>
      </c>
      <c r="O184" s="17">
        <f>SUM(O185:O188)</f>
        <v>909.19999999999993</v>
      </c>
      <c r="P184" s="17">
        <f>SUM(P185:P188)</f>
        <v>1087.6999999999998</v>
      </c>
      <c r="Q184" s="17">
        <f>SUM(Q185:Q188)</f>
        <v>1087.6999999999998</v>
      </c>
      <c r="R184" s="17">
        <f>SUM(R185:R188)</f>
        <v>1087.6999999999998</v>
      </c>
    </row>
    <row r="185" spans="1:18" s="62" customFormat="1" ht="15.75" customHeight="1">
      <c r="A185" s="878" t="s">
        <v>1099</v>
      </c>
      <c r="B185" s="879"/>
      <c r="C185" s="1222" t="s">
        <v>306</v>
      </c>
      <c r="D185" s="1222" t="s">
        <v>279</v>
      </c>
      <c r="E185" s="1222" t="s">
        <v>47</v>
      </c>
      <c r="F185" s="1044"/>
      <c r="G185" s="1044"/>
      <c r="H185" s="880"/>
      <c r="I185" s="881"/>
      <c r="J185" s="881"/>
      <c r="K185" s="881"/>
      <c r="L185" s="879"/>
      <c r="M185" s="879"/>
      <c r="N185" s="882"/>
      <c r="O185" s="882"/>
      <c r="P185" s="882"/>
      <c r="Q185" s="882"/>
      <c r="R185" s="882"/>
    </row>
    <row r="186" spans="1:18" s="62" customFormat="1" ht="25.5" customHeight="1">
      <c r="A186" s="610" t="s">
        <v>1100</v>
      </c>
      <c r="B186" s="229"/>
      <c r="C186" s="1198"/>
      <c r="D186" s="1198"/>
      <c r="E186" s="1198"/>
      <c r="F186" s="1027"/>
      <c r="G186" s="1027"/>
      <c r="H186" s="1034"/>
      <c r="I186" s="1198" t="s">
        <v>1521</v>
      </c>
      <c r="J186" s="291" t="s">
        <v>54</v>
      </c>
      <c r="K186" s="291" t="s">
        <v>731</v>
      </c>
      <c r="L186" s="229"/>
      <c r="M186" s="229"/>
      <c r="N186" s="216"/>
      <c r="O186" s="216"/>
      <c r="P186" s="216"/>
      <c r="Q186" s="216"/>
      <c r="R186" s="216"/>
    </row>
    <row r="187" spans="1:18" s="62" customFormat="1" ht="60.75" customHeight="1">
      <c r="A187" s="1047" t="s">
        <v>1101</v>
      </c>
      <c r="B187" s="229"/>
      <c r="C187" s="1198"/>
      <c r="D187" s="1198"/>
      <c r="E187" s="1198"/>
      <c r="F187" s="1027"/>
      <c r="G187" s="1027"/>
      <c r="H187" s="1034"/>
      <c r="I187" s="1198"/>
      <c r="J187" s="291"/>
      <c r="K187" s="291"/>
      <c r="L187" s="229" t="s">
        <v>36</v>
      </c>
      <c r="M187" s="229" t="s">
        <v>35</v>
      </c>
      <c r="N187" s="216">
        <v>589.79999999999995</v>
      </c>
      <c r="O187" s="216">
        <v>589.79999999999995</v>
      </c>
      <c r="P187" s="216">
        <v>768.3</v>
      </c>
      <c r="Q187" s="216">
        <v>768.3</v>
      </c>
      <c r="R187" s="216">
        <v>768.3</v>
      </c>
    </row>
    <row r="188" spans="1:18" s="62" customFormat="1" ht="72.75" customHeight="1">
      <c r="A188" s="883" t="s">
        <v>1102</v>
      </c>
      <c r="B188" s="753"/>
      <c r="C188" s="1223"/>
      <c r="D188" s="1223"/>
      <c r="E188" s="1223"/>
      <c r="F188" s="1045"/>
      <c r="G188" s="1045"/>
      <c r="H188" s="758"/>
      <c r="I188" s="1045" t="s">
        <v>521</v>
      </c>
      <c r="J188" s="1045" t="s">
        <v>54</v>
      </c>
      <c r="K188" s="758" t="s">
        <v>267</v>
      </c>
      <c r="L188" s="753" t="s">
        <v>36</v>
      </c>
      <c r="M188" s="753" t="s">
        <v>33</v>
      </c>
      <c r="N188" s="755">
        <v>319.39999999999998</v>
      </c>
      <c r="O188" s="755">
        <v>319.39999999999998</v>
      </c>
      <c r="P188" s="755">
        <v>319.39999999999998</v>
      </c>
      <c r="Q188" s="755">
        <v>319.39999999999998</v>
      </c>
      <c r="R188" s="755">
        <v>319.39999999999998</v>
      </c>
    </row>
    <row r="189" spans="1:18" s="63" customFormat="1" ht="59.25" hidden="1" customHeight="1">
      <c r="A189" s="1229" t="s">
        <v>435</v>
      </c>
      <c r="B189" s="435">
        <v>1025</v>
      </c>
      <c r="C189" s="1019" t="s">
        <v>43</v>
      </c>
      <c r="D189" s="1019" t="s">
        <v>307</v>
      </c>
      <c r="E189" s="1019" t="s">
        <v>44</v>
      </c>
      <c r="F189" s="1210" t="s">
        <v>82</v>
      </c>
      <c r="G189" s="1036" t="s">
        <v>56</v>
      </c>
      <c r="H189" s="1036" t="s">
        <v>83</v>
      </c>
      <c r="I189" s="1027" t="s">
        <v>84</v>
      </c>
      <c r="J189" s="1027" t="s">
        <v>54</v>
      </c>
      <c r="K189" s="1034" t="s">
        <v>85</v>
      </c>
      <c r="L189" s="399" t="s">
        <v>33</v>
      </c>
      <c r="M189" s="399" t="s">
        <v>31</v>
      </c>
      <c r="N189" s="218"/>
      <c r="O189" s="218"/>
      <c r="P189" s="47">
        <v>0</v>
      </c>
      <c r="Q189" s="47">
        <v>0</v>
      </c>
      <c r="R189" s="47">
        <v>0</v>
      </c>
    </row>
    <row r="190" spans="1:18" s="63" customFormat="1" ht="59.25" hidden="1" customHeight="1">
      <c r="A190" s="1230"/>
      <c r="B190" s="277"/>
      <c r="C190" s="1026"/>
      <c r="D190" s="1026"/>
      <c r="E190" s="1026"/>
      <c r="F190" s="1237"/>
      <c r="G190" s="1051"/>
      <c r="H190" s="1051"/>
      <c r="I190" s="160" t="s">
        <v>86</v>
      </c>
      <c r="J190" s="160" t="s">
        <v>54</v>
      </c>
      <c r="K190" s="93" t="s">
        <v>87</v>
      </c>
      <c r="L190" s="374"/>
      <c r="M190" s="374"/>
      <c r="N190" s="27"/>
      <c r="O190" s="218"/>
      <c r="P190" s="47"/>
      <c r="Q190" s="47"/>
      <c r="R190" s="47"/>
    </row>
    <row r="191" spans="1:18" s="63" customFormat="1" ht="72.75" customHeight="1">
      <c r="A191" s="454" t="s">
        <v>693</v>
      </c>
      <c r="B191" s="435">
        <v>1026</v>
      </c>
      <c r="C191" s="1019"/>
      <c r="D191" s="1019"/>
      <c r="E191" s="1019"/>
      <c r="F191" s="1036"/>
      <c r="G191" s="1036"/>
      <c r="H191" s="1036"/>
      <c r="I191" s="1027"/>
      <c r="J191" s="1027"/>
      <c r="K191" s="1055"/>
      <c r="L191" s="399" t="s">
        <v>30</v>
      </c>
      <c r="M191" s="399" t="s">
        <v>35</v>
      </c>
      <c r="N191" s="455">
        <f>SUM(N192:N196)</f>
        <v>4491.7759999999998</v>
      </c>
      <c r="O191" s="455">
        <f>SUM(O192:O196)</f>
        <v>4408.16</v>
      </c>
      <c r="P191" s="455">
        <f>SUM(P192:P196)</f>
        <v>4439.8999999999996</v>
      </c>
      <c r="Q191" s="455">
        <f>SUM(Q192:Q196)</f>
        <v>1818.8</v>
      </c>
      <c r="R191" s="455">
        <f>SUM(R192:R196)</f>
        <v>1210</v>
      </c>
    </row>
    <row r="192" spans="1:18" s="63" customFormat="1" ht="13.5" customHeight="1">
      <c r="A192" s="603" t="s">
        <v>989</v>
      </c>
      <c r="B192" s="454"/>
      <c r="C192" s="1244" t="s">
        <v>43</v>
      </c>
      <c r="D192" s="1244" t="s">
        <v>81</v>
      </c>
      <c r="E192" s="1244" t="s">
        <v>44</v>
      </c>
      <c r="F192" s="1244" t="s">
        <v>27</v>
      </c>
      <c r="G192" s="1244" t="s">
        <v>27</v>
      </c>
      <c r="H192" s="1244" t="s">
        <v>27</v>
      </c>
      <c r="I192" s="611"/>
      <c r="J192" s="611"/>
      <c r="K192" s="611"/>
      <c r="L192" s="598"/>
      <c r="M192" s="598"/>
      <c r="N192" s="519"/>
      <c r="O192" s="519"/>
      <c r="P192" s="519"/>
      <c r="Q192" s="519"/>
      <c r="R192" s="524"/>
    </row>
    <row r="193" spans="1:18" s="63" customFormat="1" ht="34.5" customHeight="1">
      <c r="A193" s="583" t="s">
        <v>1103</v>
      </c>
      <c r="B193" s="289"/>
      <c r="C193" s="1213"/>
      <c r="D193" s="1213"/>
      <c r="E193" s="1213"/>
      <c r="F193" s="1213"/>
      <c r="G193" s="1213"/>
      <c r="H193" s="1213"/>
      <c r="I193" s="1210" t="s">
        <v>1393</v>
      </c>
      <c r="J193" s="1036" t="s">
        <v>54</v>
      </c>
      <c r="K193" s="1036" t="s">
        <v>1391</v>
      </c>
      <c r="L193" s="1038"/>
      <c r="M193" s="1038"/>
      <c r="N193" s="220"/>
      <c r="O193" s="220"/>
      <c r="P193" s="220"/>
      <c r="Q193" s="220"/>
      <c r="R193" s="78"/>
    </row>
    <row r="194" spans="1:18" s="63" customFormat="1" ht="15" customHeight="1">
      <c r="A194" s="1227" t="s">
        <v>1104</v>
      </c>
      <c r="B194" s="289"/>
      <c r="C194" s="1213"/>
      <c r="D194" s="1213"/>
      <c r="E194" s="1213"/>
      <c r="F194" s="1213"/>
      <c r="G194" s="1213"/>
      <c r="H194" s="1213"/>
      <c r="I194" s="1210"/>
      <c r="J194" s="1036"/>
      <c r="K194" s="1036"/>
      <c r="L194" s="1038"/>
      <c r="M194" s="1038"/>
      <c r="N194" s="220">
        <v>4491.7759999999998</v>
      </c>
      <c r="O194" s="220">
        <v>4408.16</v>
      </c>
      <c r="P194" s="220">
        <f>3517.006+922.894</f>
        <v>4439.8999999999996</v>
      </c>
      <c r="Q194" s="220">
        <v>1818.8</v>
      </c>
      <c r="R194" s="78">
        <v>1210</v>
      </c>
    </row>
    <row r="195" spans="1:18" s="63" customFormat="1" ht="72.75" customHeight="1">
      <c r="A195" s="1227"/>
      <c r="B195" s="289"/>
      <c r="C195" s="1213"/>
      <c r="D195" s="1213"/>
      <c r="E195" s="1213"/>
      <c r="F195" s="1213"/>
      <c r="G195" s="1213"/>
      <c r="H195" s="1213"/>
      <c r="I195" s="1038" t="s">
        <v>77</v>
      </c>
      <c r="J195" s="1038" t="s">
        <v>78</v>
      </c>
      <c r="K195" s="1038" t="s">
        <v>79</v>
      </c>
      <c r="L195" s="1038"/>
      <c r="M195" s="1038"/>
      <c r="N195" s="220"/>
      <c r="O195" s="220"/>
      <c r="P195" s="220"/>
      <c r="Q195" s="220"/>
      <c r="R195" s="78"/>
    </row>
    <row r="196" spans="1:18" s="63" customFormat="1" ht="36.75" customHeight="1">
      <c r="A196" s="456"/>
      <c r="B196" s="456"/>
      <c r="C196" s="1245"/>
      <c r="D196" s="1245"/>
      <c r="E196" s="1245"/>
      <c r="F196" s="1245"/>
      <c r="G196" s="1245"/>
      <c r="H196" s="1245"/>
      <c r="I196" s="1057" t="s">
        <v>388</v>
      </c>
      <c r="J196" s="1057" t="s">
        <v>54</v>
      </c>
      <c r="K196" s="1057" t="s">
        <v>389</v>
      </c>
      <c r="L196" s="1057"/>
      <c r="M196" s="1057"/>
      <c r="N196" s="223"/>
      <c r="O196" s="554"/>
      <c r="P196" s="223"/>
      <c r="Q196" s="223"/>
      <c r="R196" s="457"/>
    </row>
    <row r="197" spans="1:18" s="63" customFormat="1" ht="15.75" customHeight="1">
      <c r="A197" s="1266" t="s">
        <v>544</v>
      </c>
      <c r="B197" s="500">
        <v>1027</v>
      </c>
      <c r="C197" s="598"/>
      <c r="D197" s="598"/>
      <c r="E197" s="598"/>
      <c r="F197" s="841"/>
      <c r="G197" s="841"/>
      <c r="H197" s="841"/>
      <c r="I197" s="598"/>
      <c r="J197" s="598"/>
      <c r="K197" s="598"/>
      <c r="L197" s="842" t="s">
        <v>32</v>
      </c>
      <c r="M197" s="842" t="s">
        <v>21</v>
      </c>
      <c r="N197" s="555">
        <f>SUM(N200:N202)</f>
        <v>0</v>
      </c>
      <c r="O197" s="555">
        <f t="shared" ref="O197:R197" si="7">SUM(O200:O202)</f>
        <v>0</v>
      </c>
      <c r="P197" s="555">
        <f t="shared" si="7"/>
        <v>2090</v>
      </c>
      <c r="Q197" s="555">
        <f t="shared" si="7"/>
        <v>0</v>
      </c>
      <c r="R197" s="555">
        <f t="shared" si="7"/>
        <v>0</v>
      </c>
    </row>
    <row r="198" spans="1:18" s="62" customFormat="1" ht="88.5" customHeight="1">
      <c r="A198" s="1229"/>
      <c r="B198" s="229"/>
      <c r="C198" s="1038"/>
      <c r="D198" s="1038"/>
      <c r="E198" s="1038"/>
      <c r="F198" s="228"/>
      <c r="G198" s="228"/>
      <c r="H198" s="228"/>
      <c r="I198" s="228"/>
      <c r="J198" s="1038"/>
      <c r="K198" s="1038"/>
      <c r="L198" s="229"/>
      <c r="M198" s="229"/>
      <c r="N198" s="220"/>
      <c r="O198" s="220"/>
      <c r="P198" s="220"/>
      <c r="Q198" s="220"/>
      <c r="R198" s="78"/>
    </row>
    <row r="199" spans="1:18" s="62" customFormat="1" ht="29.25" customHeight="1">
      <c r="A199" s="1267"/>
      <c r="B199" s="1057"/>
      <c r="C199" s="1057"/>
      <c r="D199" s="1057"/>
      <c r="E199" s="1057"/>
      <c r="F199" s="587"/>
      <c r="G199" s="587"/>
      <c r="H199" s="587"/>
      <c r="I199" s="587"/>
      <c r="J199" s="1057"/>
      <c r="K199" s="1057"/>
      <c r="L199" s="202"/>
      <c r="M199" s="202"/>
      <c r="N199" s="208"/>
      <c r="O199" s="208"/>
      <c r="P199" s="208"/>
      <c r="Q199" s="208"/>
      <c r="R199" s="840"/>
    </row>
    <row r="200" spans="1:18" s="62" customFormat="1" ht="24">
      <c r="A200" s="843" t="s">
        <v>1105</v>
      </c>
      <c r="B200" s="598"/>
      <c r="C200" s="598"/>
      <c r="D200" s="598"/>
      <c r="E200" s="598"/>
      <c r="F200" s="841"/>
      <c r="G200" s="841"/>
      <c r="H200" s="841"/>
      <c r="I200" s="598"/>
      <c r="J200" s="598"/>
      <c r="K200" s="598"/>
      <c r="L200" s="521"/>
      <c r="M200" s="521"/>
      <c r="N200" s="519"/>
      <c r="O200" s="519"/>
      <c r="P200" s="519"/>
      <c r="Q200" s="519"/>
      <c r="R200" s="844"/>
    </row>
    <row r="201" spans="1:18" s="62" customFormat="1" ht="48.75" customHeight="1">
      <c r="A201" s="610" t="s">
        <v>1106</v>
      </c>
      <c r="B201" s="1038"/>
      <c r="C201" s="1038"/>
      <c r="D201" s="1038"/>
      <c r="E201" s="1038"/>
      <c r="F201" s="228"/>
      <c r="G201" s="228"/>
      <c r="H201" s="228"/>
      <c r="I201" s="1038" t="s">
        <v>1393</v>
      </c>
      <c r="J201" s="1038" t="s">
        <v>54</v>
      </c>
      <c r="K201" s="1038" t="s">
        <v>1391</v>
      </c>
      <c r="L201" s="229"/>
      <c r="M201" s="229"/>
      <c r="N201" s="220"/>
      <c r="O201" s="220"/>
      <c r="P201" s="220"/>
      <c r="Q201" s="220"/>
      <c r="R201" s="78"/>
    </row>
    <row r="202" spans="1:18" s="62" customFormat="1" ht="48.75" customHeight="1">
      <c r="A202" s="1047" t="s">
        <v>1107</v>
      </c>
      <c r="B202" s="229" t="s">
        <v>1493</v>
      </c>
      <c r="C202" s="1038"/>
      <c r="D202" s="1038"/>
      <c r="E202" s="1038"/>
      <c r="F202" s="228"/>
      <c r="G202" s="228"/>
      <c r="H202" s="228"/>
      <c r="I202" s="1038" t="s">
        <v>1026</v>
      </c>
      <c r="J202" s="1038" t="s">
        <v>54</v>
      </c>
      <c r="K202" s="1038" t="s">
        <v>866</v>
      </c>
      <c r="L202" s="229"/>
      <c r="M202" s="229"/>
      <c r="N202" s="220">
        <v>0</v>
      </c>
      <c r="O202" s="220">
        <v>0</v>
      </c>
      <c r="P202" s="220">
        <v>2090</v>
      </c>
      <c r="Q202" s="220">
        <v>0</v>
      </c>
      <c r="R202" s="78">
        <v>0</v>
      </c>
    </row>
    <row r="203" spans="1:18" s="63" customFormat="1" ht="36">
      <c r="A203" s="16" t="s">
        <v>1409</v>
      </c>
      <c r="B203" s="802">
        <v>1029</v>
      </c>
      <c r="C203" s="802"/>
      <c r="D203" s="802"/>
      <c r="E203" s="802"/>
      <c r="F203" s="16"/>
      <c r="G203" s="16"/>
      <c r="H203" s="16"/>
      <c r="I203" s="802"/>
      <c r="J203" s="802"/>
      <c r="K203" s="802"/>
      <c r="L203" s="802"/>
      <c r="M203" s="169"/>
      <c r="N203" s="74">
        <f>SUM(N204:N209)</f>
        <v>4778.8720000000003</v>
      </c>
      <c r="O203" s="74">
        <f>SUM(O204:O209)</f>
        <v>4776.5400000000009</v>
      </c>
      <c r="P203" s="74">
        <f>SUM(P204:P209)</f>
        <v>5124.2999999999993</v>
      </c>
      <c r="Q203" s="74">
        <f>SUM(Q204:Q209)</f>
        <v>2493.8999999999996</v>
      </c>
      <c r="R203" s="74">
        <f>SUM(R204:R209)</f>
        <v>2505.1000000000004</v>
      </c>
    </row>
    <row r="204" spans="1:18" s="62" customFormat="1" ht="12.75" customHeight="1">
      <c r="A204" s="603" t="s">
        <v>991</v>
      </c>
      <c r="B204" s="1056"/>
      <c r="C204" s="1238" t="s">
        <v>43</v>
      </c>
      <c r="D204" s="1238" t="s">
        <v>88</v>
      </c>
      <c r="E204" s="1238" t="s">
        <v>44</v>
      </c>
      <c r="F204" s="1059"/>
      <c r="G204" s="1059"/>
      <c r="H204" s="1059"/>
      <c r="I204" s="1049"/>
      <c r="J204" s="1049"/>
      <c r="K204" s="533"/>
      <c r="L204" s="521"/>
      <c r="M204" s="521"/>
      <c r="N204" s="557"/>
      <c r="O204" s="557"/>
      <c r="P204" s="557"/>
      <c r="Q204" s="557"/>
      <c r="R204" s="614"/>
    </row>
    <row r="205" spans="1:18" s="62" customFormat="1" ht="12" customHeight="1">
      <c r="A205" s="583" t="s">
        <v>1108</v>
      </c>
      <c r="B205" s="1038"/>
      <c r="C205" s="1189"/>
      <c r="D205" s="1189"/>
      <c r="E205" s="1189"/>
      <c r="F205" s="1019"/>
      <c r="G205" s="1019"/>
      <c r="H205" s="1019"/>
      <c r="I205" s="1198" t="s">
        <v>1027</v>
      </c>
      <c r="J205" s="1027" t="s">
        <v>54</v>
      </c>
      <c r="K205" s="1381" t="s">
        <v>731</v>
      </c>
      <c r="L205" s="229"/>
      <c r="M205" s="229"/>
      <c r="N205" s="612"/>
      <c r="O205" s="612"/>
      <c r="P205" s="612"/>
      <c r="Q205" s="612"/>
      <c r="R205" s="613"/>
    </row>
    <row r="206" spans="1:18" s="62" customFormat="1" ht="35.25" customHeight="1">
      <c r="A206" s="1227" t="s">
        <v>1109</v>
      </c>
      <c r="B206" s="1038"/>
      <c r="C206" s="1189"/>
      <c r="D206" s="1189"/>
      <c r="E206" s="1189"/>
      <c r="F206" s="1019"/>
      <c r="G206" s="1019"/>
      <c r="H206" s="1019"/>
      <c r="I206" s="1198"/>
      <c r="J206" s="1027"/>
      <c r="K206" s="1381"/>
      <c r="L206" s="229" t="s">
        <v>34</v>
      </c>
      <c r="M206" s="229" t="s">
        <v>28</v>
      </c>
      <c r="N206" s="612">
        <v>513</v>
      </c>
      <c r="O206" s="612">
        <v>513</v>
      </c>
      <c r="P206" s="612">
        <v>513</v>
      </c>
      <c r="Q206" s="612">
        <v>0</v>
      </c>
      <c r="R206" s="613">
        <v>0</v>
      </c>
    </row>
    <row r="207" spans="1:18" s="62" customFormat="1" ht="168" customHeight="1">
      <c r="A207" s="1227"/>
      <c r="B207" s="229" t="s">
        <v>993</v>
      </c>
      <c r="C207" s="1189"/>
      <c r="D207" s="1189"/>
      <c r="E207" s="1189"/>
      <c r="F207" s="458" t="s">
        <v>588</v>
      </c>
      <c r="G207" s="1038" t="s">
        <v>589</v>
      </c>
      <c r="H207" s="1036" t="s">
        <v>615</v>
      </c>
      <c r="I207" s="1019" t="s">
        <v>1407</v>
      </c>
      <c r="J207" s="1019" t="s">
        <v>54</v>
      </c>
      <c r="K207" s="1019" t="s">
        <v>1406</v>
      </c>
      <c r="L207" s="229" t="s">
        <v>34</v>
      </c>
      <c r="M207" s="229" t="s">
        <v>28</v>
      </c>
      <c r="N207" s="220">
        <v>1838.3</v>
      </c>
      <c r="O207" s="220">
        <v>1838.3</v>
      </c>
      <c r="P207" s="220">
        <v>2128.1</v>
      </c>
      <c r="Q207" s="220">
        <v>0</v>
      </c>
      <c r="R207" s="78">
        <v>0</v>
      </c>
    </row>
    <row r="208" spans="1:18" s="62" customFormat="1" ht="12.75" customHeight="1">
      <c r="A208" s="610" t="s">
        <v>992</v>
      </c>
      <c r="B208" s="1038"/>
      <c r="C208" s="256"/>
      <c r="D208" s="256"/>
      <c r="E208" s="256"/>
      <c r="F208" s="1019"/>
      <c r="G208" s="1019"/>
      <c r="H208" s="1019"/>
      <c r="I208" s="1019"/>
      <c r="J208" s="1019"/>
      <c r="K208" s="1019"/>
      <c r="L208" s="1038"/>
      <c r="M208" s="1038"/>
      <c r="N208" s="220"/>
      <c r="O208" s="220"/>
      <c r="P208" s="220"/>
      <c r="Q208" s="220"/>
      <c r="R208" s="78"/>
    </row>
    <row r="209" spans="1:18" s="62" customFormat="1" ht="38.25" customHeight="1">
      <c r="A209" s="1047" t="s">
        <v>1110</v>
      </c>
      <c r="B209" s="1038"/>
      <c r="C209" s="256"/>
      <c r="D209" s="256"/>
      <c r="E209" s="256"/>
      <c r="F209" s="1019"/>
      <c r="G209" s="1019"/>
      <c r="H209" s="1019"/>
      <c r="I209" s="1019" t="s">
        <v>89</v>
      </c>
      <c r="J209" s="1019" t="s">
        <v>54</v>
      </c>
      <c r="K209" s="1019" t="s">
        <v>47</v>
      </c>
      <c r="L209" s="1038" t="s">
        <v>28</v>
      </c>
      <c r="M209" s="1038" t="s">
        <v>22</v>
      </c>
      <c r="N209" s="220">
        <f>2424.1+3.472</f>
        <v>2427.5720000000001</v>
      </c>
      <c r="O209" s="220">
        <f>2421.768+3.472</f>
        <v>2425.2400000000002</v>
      </c>
      <c r="P209" s="220">
        <f>2479.6+3.6</f>
        <v>2483.1999999999998</v>
      </c>
      <c r="Q209" s="220">
        <f>2490.2+3.7</f>
        <v>2493.8999999999996</v>
      </c>
      <c r="R209" s="78">
        <f>2501.3+3.8</f>
        <v>2505.1000000000004</v>
      </c>
    </row>
    <row r="210" spans="1:18" s="63" customFormat="1" ht="47.25" customHeight="1">
      <c r="A210" s="16" t="s">
        <v>436</v>
      </c>
      <c r="B210" s="802">
        <v>1034</v>
      </c>
      <c r="C210" s="16" t="s">
        <v>27</v>
      </c>
      <c r="D210" s="16" t="s">
        <v>27</v>
      </c>
      <c r="E210" s="16" t="s">
        <v>27</v>
      </c>
      <c r="F210" s="16" t="s">
        <v>27</v>
      </c>
      <c r="G210" s="16" t="s">
        <v>27</v>
      </c>
      <c r="H210" s="16" t="s">
        <v>27</v>
      </c>
      <c r="I210" s="16" t="s">
        <v>27</v>
      </c>
      <c r="J210" s="16" t="s">
        <v>27</v>
      </c>
      <c r="K210" s="16" t="s">
        <v>27</v>
      </c>
      <c r="L210" s="802" t="s">
        <v>34</v>
      </c>
      <c r="M210" s="169" t="s">
        <v>28</v>
      </c>
      <c r="N210" s="74">
        <f>SUM(N211:N230)</f>
        <v>91596.696000000011</v>
      </c>
      <c r="O210" s="74">
        <f t="shared" ref="O210:R210" si="8">SUM(O211:O230)</f>
        <v>90529.577000000005</v>
      </c>
      <c r="P210" s="74">
        <f t="shared" si="8"/>
        <v>87925.153999999995</v>
      </c>
      <c r="Q210" s="74">
        <f t="shared" si="8"/>
        <v>2508.0500000000002</v>
      </c>
      <c r="R210" s="74">
        <f t="shared" si="8"/>
        <v>2483.4499999999998</v>
      </c>
    </row>
    <row r="211" spans="1:18" s="62" customFormat="1" ht="12.75" customHeight="1">
      <c r="A211" s="603" t="s">
        <v>990</v>
      </c>
      <c r="B211" s="1056"/>
      <c r="C211" s="1244" t="s">
        <v>43</v>
      </c>
      <c r="D211" s="1244" t="s">
        <v>90</v>
      </c>
      <c r="E211" s="1244" t="s">
        <v>44</v>
      </c>
      <c r="F211" s="1244" t="s">
        <v>529</v>
      </c>
      <c r="G211" s="1244" t="s">
        <v>91</v>
      </c>
      <c r="H211" s="1244" t="s">
        <v>92</v>
      </c>
      <c r="I211" s="1049"/>
      <c r="J211" s="1049"/>
      <c r="K211" s="533"/>
      <c r="L211" s="1056"/>
      <c r="M211" s="1056"/>
      <c r="N211" s="446"/>
      <c r="O211" s="519"/>
      <c r="P211" s="446"/>
      <c r="Q211" s="446"/>
      <c r="R211" s="459"/>
    </row>
    <row r="212" spans="1:18" s="62" customFormat="1" ht="24" customHeight="1">
      <c r="A212" s="583" t="s">
        <v>1111</v>
      </c>
      <c r="B212" s="1038"/>
      <c r="C212" s="1213"/>
      <c r="D212" s="1213"/>
      <c r="E212" s="1213"/>
      <c r="F212" s="1213"/>
      <c r="G212" s="1213"/>
      <c r="H212" s="1213"/>
      <c r="I212" s="1198" t="s">
        <v>1027</v>
      </c>
      <c r="J212" s="1027" t="s">
        <v>54</v>
      </c>
      <c r="K212" s="1034" t="s">
        <v>731</v>
      </c>
      <c r="L212" s="1038"/>
      <c r="M212" s="1038"/>
      <c r="N212" s="220"/>
      <c r="O212" s="220"/>
      <c r="P212" s="220"/>
      <c r="Q212" s="220"/>
      <c r="R212" s="397"/>
    </row>
    <row r="213" spans="1:18" s="62" customFormat="1" ht="24" customHeight="1">
      <c r="A213" s="228"/>
      <c r="B213" s="1038"/>
      <c r="C213" s="1213"/>
      <c r="D213" s="1213"/>
      <c r="E213" s="1213"/>
      <c r="F213" s="1213"/>
      <c r="G213" s="1213"/>
      <c r="H213" s="1213"/>
      <c r="I213" s="1198"/>
      <c r="J213" s="1027"/>
      <c r="K213" s="1034"/>
      <c r="L213" s="1038"/>
      <c r="M213" s="1038"/>
      <c r="N213" s="220"/>
      <c r="O213" s="220"/>
      <c r="P213" s="220"/>
      <c r="Q213" s="220"/>
      <c r="R213" s="397"/>
    </row>
    <row r="214" spans="1:18" s="62" customFormat="1" ht="96" customHeight="1">
      <c r="A214" s="228" t="s">
        <v>1113</v>
      </c>
      <c r="B214" s="1038"/>
      <c r="C214" s="1213"/>
      <c r="D214" s="1213"/>
      <c r="E214" s="1213"/>
      <c r="F214" s="1213"/>
      <c r="G214" s="1213"/>
      <c r="H214" s="1213"/>
      <c r="I214" s="1027" t="s">
        <v>571</v>
      </c>
      <c r="J214" s="1027" t="s">
        <v>54</v>
      </c>
      <c r="K214" s="1034" t="s">
        <v>57</v>
      </c>
      <c r="L214" s="1038"/>
      <c r="M214" s="1038"/>
      <c r="N214" s="220">
        <f>22128.051+1081.492+261.248</f>
        <v>23470.790999999997</v>
      </c>
      <c r="O214" s="220">
        <f>22128.051+1024.164+261.248</f>
        <v>23413.463</v>
      </c>
      <c r="P214" s="220">
        <f>3370.79+17552.464</f>
        <v>20923.254000000001</v>
      </c>
      <c r="Q214" s="220">
        <v>689.65</v>
      </c>
      <c r="R214" s="397">
        <v>665.05</v>
      </c>
    </row>
    <row r="215" spans="1:18" s="62" customFormat="1" ht="120">
      <c r="A215" s="228"/>
      <c r="B215" s="1038"/>
      <c r="C215" s="1038"/>
      <c r="D215" s="1038"/>
      <c r="E215" s="1038"/>
      <c r="F215" s="1038"/>
      <c r="G215" s="1038"/>
      <c r="H215" s="1038"/>
      <c r="I215" s="1027" t="s">
        <v>714</v>
      </c>
      <c r="J215" s="1027" t="s">
        <v>54</v>
      </c>
      <c r="K215" s="1034" t="s">
        <v>344</v>
      </c>
      <c r="L215" s="1038"/>
      <c r="M215" s="1038"/>
      <c r="N215" s="220"/>
      <c r="O215" s="220"/>
      <c r="P215" s="220"/>
      <c r="Q215" s="220"/>
      <c r="R215" s="397"/>
    </row>
    <row r="216" spans="1:18" s="62" customFormat="1" ht="37.5" customHeight="1">
      <c r="A216" s="228"/>
      <c r="B216" s="1038"/>
      <c r="C216" s="1038"/>
      <c r="D216" s="1038"/>
      <c r="E216" s="1038"/>
      <c r="F216" s="1038"/>
      <c r="G216" s="1038"/>
      <c r="H216" s="1038"/>
      <c r="I216" s="1027" t="s">
        <v>70</v>
      </c>
      <c r="J216" s="1027" t="s">
        <v>54</v>
      </c>
      <c r="K216" s="1034" t="s">
        <v>57</v>
      </c>
      <c r="L216" s="1038"/>
      <c r="M216" s="1038"/>
      <c r="N216" s="220"/>
      <c r="O216" s="220"/>
      <c r="P216" s="220"/>
      <c r="Q216" s="220"/>
      <c r="R216" s="397"/>
    </row>
    <row r="217" spans="1:18" s="62" customFormat="1" ht="36">
      <c r="A217" s="228"/>
      <c r="B217" s="1038"/>
      <c r="C217" s="1038"/>
      <c r="D217" s="1038"/>
      <c r="E217" s="1038"/>
      <c r="F217" s="1038"/>
      <c r="G217" s="1038"/>
      <c r="H217" s="1038"/>
      <c r="I217" s="1027" t="s">
        <v>376</v>
      </c>
      <c r="J217" s="1027" t="s">
        <v>54</v>
      </c>
      <c r="K217" s="1034" t="s">
        <v>377</v>
      </c>
      <c r="L217" s="1038"/>
      <c r="M217" s="1038"/>
      <c r="N217" s="220"/>
      <c r="O217" s="220"/>
      <c r="P217" s="220"/>
      <c r="Q217" s="220"/>
      <c r="R217" s="397"/>
    </row>
    <row r="218" spans="1:18" s="62" customFormat="1" ht="63" customHeight="1">
      <c r="A218" s="228"/>
      <c r="B218" s="1038"/>
      <c r="C218" s="1038"/>
      <c r="D218" s="1038"/>
      <c r="E218" s="1038"/>
      <c r="F218" s="1038"/>
      <c r="G218" s="1038"/>
      <c r="H218" s="1038"/>
      <c r="I218" s="1080" t="s">
        <v>345</v>
      </c>
      <c r="J218" s="1027" t="s">
        <v>54</v>
      </c>
      <c r="K218" s="1034" t="s">
        <v>346</v>
      </c>
      <c r="L218" s="1038"/>
      <c r="M218" s="1038"/>
      <c r="N218" s="220"/>
      <c r="O218" s="220"/>
      <c r="P218" s="220"/>
      <c r="Q218" s="220"/>
      <c r="R218" s="397"/>
    </row>
    <row r="219" spans="1:18" s="62" customFormat="1" ht="169.5" customHeight="1">
      <c r="A219" s="228"/>
      <c r="B219" s="229" t="s">
        <v>993</v>
      </c>
      <c r="C219" s="1038" t="s">
        <v>352</v>
      </c>
      <c r="D219" s="1038" t="s">
        <v>395</v>
      </c>
      <c r="E219" s="1038" t="s">
        <v>353</v>
      </c>
      <c r="F219" s="458" t="s">
        <v>588</v>
      </c>
      <c r="G219" s="1038" t="s">
        <v>589</v>
      </c>
      <c r="H219" s="1036" t="s">
        <v>615</v>
      </c>
      <c r="I219" s="1019" t="s">
        <v>1407</v>
      </c>
      <c r="J219" s="1019" t="s">
        <v>54</v>
      </c>
      <c r="K219" s="1019" t="s">
        <v>1406</v>
      </c>
      <c r="L219" s="1038"/>
      <c r="M219" s="1038"/>
      <c r="N219" s="220">
        <v>56526.8</v>
      </c>
      <c r="O219" s="220">
        <v>55896.642</v>
      </c>
      <c r="P219" s="220">
        <v>65183.5</v>
      </c>
      <c r="Q219" s="220">
        <v>0</v>
      </c>
      <c r="R219" s="397">
        <v>0</v>
      </c>
    </row>
    <row r="220" spans="1:18" s="62" customFormat="1" ht="132" customHeight="1">
      <c r="A220" s="228"/>
      <c r="B220" s="229" t="s">
        <v>994</v>
      </c>
      <c r="C220" s="228"/>
      <c r="D220" s="228"/>
      <c r="E220" s="228"/>
      <c r="F220" s="458" t="s">
        <v>588</v>
      </c>
      <c r="G220" s="1038" t="s">
        <v>590</v>
      </c>
      <c r="H220" s="1036" t="s">
        <v>615</v>
      </c>
      <c r="I220" s="1036" t="s">
        <v>1484</v>
      </c>
      <c r="J220" s="1036" t="s">
        <v>54</v>
      </c>
      <c r="K220" s="1036" t="s">
        <v>1485</v>
      </c>
      <c r="L220" s="1038"/>
      <c r="M220" s="1038"/>
      <c r="N220" s="220">
        <v>2082.1</v>
      </c>
      <c r="O220" s="220">
        <v>1702.4670000000001</v>
      </c>
      <c r="P220" s="220">
        <v>1818.4</v>
      </c>
      <c r="Q220" s="220">
        <v>1818.4</v>
      </c>
      <c r="R220" s="397">
        <v>1818.4</v>
      </c>
    </row>
    <row r="221" spans="1:18" s="62" customFormat="1" ht="32.25" customHeight="1">
      <c r="A221" s="228" t="s">
        <v>1112</v>
      </c>
      <c r="B221" s="229"/>
      <c r="C221" s="228"/>
      <c r="D221" s="228"/>
      <c r="E221" s="228"/>
      <c r="F221" s="458"/>
      <c r="G221" s="1038"/>
      <c r="H221" s="1036"/>
      <c r="I221" s="1210" t="s">
        <v>1501</v>
      </c>
      <c r="J221" s="1210" t="s">
        <v>54</v>
      </c>
      <c r="K221" s="1210" t="s">
        <v>1502</v>
      </c>
      <c r="L221" s="229"/>
      <c r="M221" s="229"/>
      <c r="N221" s="220">
        <v>868.69</v>
      </c>
      <c r="O221" s="220">
        <v>868.69</v>
      </c>
      <c r="P221" s="220">
        <v>0</v>
      </c>
      <c r="Q221" s="220">
        <v>0</v>
      </c>
      <c r="R221" s="397">
        <v>0</v>
      </c>
    </row>
    <row r="222" spans="1:18" s="62" customFormat="1" ht="32.25" customHeight="1">
      <c r="A222" s="1227"/>
      <c r="B222" s="229" t="s">
        <v>680</v>
      </c>
      <c r="C222" s="228"/>
      <c r="D222" s="228"/>
      <c r="E222" s="228"/>
      <c r="F222" s="458"/>
      <c r="G222" s="1038"/>
      <c r="H222" s="1036"/>
      <c r="I222" s="1210"/>
      <c r="J222" s="1210"/>
      <c r="K222" s="1210"/>
      <c r="L222" s="229"/>
      <c r="M222" s="229"/>
      <c r="N222" s="220">
        <v>7660.1850000000004</v>
      </c>
      <c r="O222" s="220">
        <v>7660.1850000000004</v>
      </c>
      <c r="P222" s="220">
        <v>0</v>
      </c>
      <c r="Q222" s="220">
        <v>0</v>
      </c>
      <c r="R222" s="397">
        <v>0</v>
      </c>
    </row>
    <row r="223" spans="1:18" s="62" customFormat="1" ht="32.25" customHeight="1">
      <c r="A223" s="1227"/>
      <c r="B223" s="229" t="s">
        <v>869</v>
      </c>
      <c r="C223" s="228"/>
      <c r="D223" s="228"/>
      <c r="E223" s="228"/>
      <c r="F223" s="458"/>
      <c r="G223" s="1038"/>
      <c r="H223" s="1036"/>
      <c r="I223" s="1210"/>
      <c r="J223" s="1210"/>
      <c r="K223" s="1210"/>
      <c r="L223" s="229"/>
      <c r="M223" s="229"/>
      <c r="N223" s="220">
        <v>236.91300000000001</v>
      </c>
      <c r="O223" s="220">
        <v>236.91300000000001</v>
      </c>
      <c r="P223" s="220">
        <v>0</v>
      </c>
      <c r="Q223" s="220">
        <v>0</v>
      </c>
      <c r="R223" s="397">
        <v>0</v>
      </c>
    </row>
    <row r="224" spans="1:18" s="62" customFormat="1" ht="12.75" customHeight="1">
      <c r="A224" s="583" t="s">
        <v>995</v>
      </c>
      <c r="B224" s="1038"/>
      <c r="C224" s="1038"/>
      <c r="D224" s="1038"/>
      <c r="E224" s="1038"/>
      <c r="F224" s="1038"/>
      <c r="G224" s="1038"/>
      <c r="H224" s="1038"/>
      <c r="I224" s="1027"/>
      <c r="J224" s="1027"/>
      <c r="K224" s="1034"/>
      <c r="L224" s="1038"/>
      <c r="M224" s="1038"/>
      <c r="N224" s="220"/>
      <c r="O224" s="220"/>
      <c r="P224" s="220"/>
      <c r="Q224" s="220"/>
      <c r="R224" s="397"/>
    </row>
    <row r="225" spans="1:18" s="62" customFormat="1" ht="13.5" customHeight="1">
      <c r="A225" s="1147" t="s">
        <v>1423</v>
      </c>
      <c r="B225" s="1013"/>
      <c r="C225" s="795"/>
      <c r="D225" s="795"/>
      <c r="E225" s="795"/>
      <c r="F225" s="1073"/>
      <c r="G225" s="1073"/>
      <c r="H225" s="1073"/>
      <c r="I225" s="1073"/>
      <c r="J225" s="1073"/>
      <c r="K225" s="1073"/>
      <c r="L225" s="1013"/>
      <c r="M225" s="1013"/>
      <c r="N225" s="726"/>
      <c r="O225" s="726"/>
      <c r="P225" s="726"/>
      <c r="Q225" s="726"/>
      <c r="R225" s="726"/>
    </row>
    <row r="226" spans="1:18" s="62" customFormat="1" ht="48">
      <c r="A226" s="1147"/>
      <c r="B226" s="1013" t="s">
        <v>764</v>
      </c>
      <c r="C226" s="795"/>
      <c r="D226" s="795"/>
      <c r="E226" s="795"/>
      <c r="F226" s="1269" t="s">
        <v>391</v>
      </c>
      <c r="G226" s="1149" t="s">
        <v>530</v>
      </c>
      <c r="H226" s="1149" t="s">
        <v>392</v>
      </c>
      <c r="I226" s="1073" t="s">
        <v>893</v>
      </c>
      <c r="J226" s="1073" t="s">
        <v>54</v>
      </c>
      <c r="K226" s="1073" t="s">
        <v>894</v>
      </c>
      <c r="L226" s="1013"/>
      <c r="M226" s="1013"/>
      <c r="N226" s="726">
        <v>262</v>
      </c>
      <c r="O226" s="726">
        <v>262</v>
      </c>
      <c r="P226" s="726">
        <v>0</v>
      </c>
      <c r="Q226" s="726">
        <v>0</v>
      </c>
      <c r="R226" s="726">
        <v>0</v>
      </c>
    </row>
    <row r="227" spans="1:18" s="62" customFormat="1" ht="108" hidden="1">
      <c r="A227" s="1147"/>
      <c r="B227" s="1013" t="s">
        <v>370</v>
      </c>
      <c r="C227" s="795"/>
      <c r="D227" s="795"/>
      <c r="E227" s="795"/>
      <c r="F227" s="1269"/>
      <c r="G227" s="1149"/>
      <c r="H227" s="1149"/>
      <c r="I227" s="765" t="s">
        <v>682</v>
      </c>
      <c r="J227" s="1053" t="s">
        <v>54</v>
      </c>
      <c r="K227" s="725" t="s">
        <v>683</v>
      </c>
      <c r="L227" s="1013"/>
      <c r="M227" s="1013"/>
      <c r="N227" s="726"/>
      <c r="O227" s="726"/>
      <c r="P227" s="726"/>
      <c r="Q227" s="726"/>
      <c r="R227" s="726"/>
    </row>
    <row r="228" spans="1:18" s="62" customFormat="1" ht="48">
      <c r="A228" s="998"/>
      <c r="B228" s="1013" t="s">
        <v>378</v>
      </c>
      <c r="C228" s="795"/>
      <c r="D228" s="795"/>
      <c r="E228" s="795"/>
      <c r="F228" s="1269"/>
      <c r="G228" s="999"/>
      <c r="H228" s="999"/>
      <c r="I228" s="765" t="s">
        <v>914</v>
      </c>
      <c r="J228" s="1053" t="s">
        <v>54</v>
      </c>
      <c r="K228" s="725" t="s">
        <v>915</v>
      </c>
      <c r="L228" s="1013"/>
      <c r="M228" s="1013"/>
      <c r="N228" s="726">
        <v>284.89699999999999</v>
      </c>
      <c r="O228" s="726">
        <v>284.89699999999999</v>
      </c>
      <c r="P228" s="726">
        <v>0</v>
      </c>
      <c r="Q228" s="726">
        <v>0</v>
      </c>
      <c r="R228" s="726">
        <v>0</v>
      </c>
    </row>
    <row r="229" spans="1:18" s="62" customFormat="1" ht="48">
      <c r="A229" s="998"/>
      <c r="B229" s="1013" t="s">
        <v>384</v>
      </c>
      <c r="C229" s="795"/>
      <c r="D229" s="795"/>
      <c r="E229" s="795"/>
      <c r="F229" s="1269"/>
      <c r="G229" s="999"/>
      <c r="H229" s="999"/>
      <c r="I229" s="765" t="s">
        <v>937</v>
      </c>
      <c r="J229" s="1053" t="s">
        <v>54</v>
      </c>
      <c r="K229" s="725" t="s">
        <v>1226</v>
      </c>
      <c r="L229" s="1013"/>
      <c r="M229" s="1013"/>
      <c r="N229" s="726">
        <v>163.72</v>
      </c>
      <c r="O229" s="726">
        <v>163.72</v>
      </c>
      <c r="P229" s="726">
        <v>0</v>
      </c>
      <c r="Q229" s="726">
        <v>0</v>
      </c>
      <c r="R229" s="726">
        <v>0</v>
      </c>
    </row>
    <row r="230" spans="1:18" s="62" customFormat="1" ht="48">
      <c r="A230" s="763"/>
      <c r="B230" s="1003" t="s">
        <v>1223</v>
      </c>
      <c r="C230" s="243"/>
      <c r="D230" s="243"/>
      <c r="E230" s="243"/>
      <c r="F230" s="1041"/>
      <c r="G230" s="1005"/>
      <c r="H230" s="1005"/>
      <c r="I230" s="764" t="s">
        <v>1224</v>
      </c>
      <c r="J230" s="252" t="s">
        <v>54</v>
      </c>
      <c r="K230" s="254" t="s">
        <v>1225</v>
      </c>
      <c r="L230" s="1003"/>
      <c r="M230" s="1003"/>
      <c r="N230" s="238">
        <v>40.6</v>
      </c>
      <c r="O230" s="238">
        <v>40.6</v>
      </c>
      <c r="P230" s="238">
        <v>0</v>
      </c>
      <c r="Q230" s="238">
        <v>0</v>
      </c>
      <c r="R230" s="238">
        <v>0</v>
      </c>
    </row>
    <row r="231" spans="1:18" s="62" customFormat="1" ht="60" hidden="1" customHeight="1">
      <c r="A231" s="197"/>
      <c r="B231" s="352" t="s">
        <v>729</v>
      </c>
      <c r="C231" s="353"/>
      <c r="D231" s="353"/>
      <c r="E231" s="353"/>
      <c r="F231" s="354"/>
      <c r="G231" s="355"/>
      <c r="H231" s="355"/>
      <c r="I231" s="356" t="s">
        <v>806</v>
      </c>
      <c r="J231" s="356" t="s">
        <v>54</v>
      </c>
      <c r="K231" s="357" t="s">
        <v>742</v>
      </c>
      <c r="L231" s="352" t="s">
        <v>34</v>
      </c>
      <c r="M231" s="352" t="s">
        <v>28</v>
      </c>
      <c r="N231" s="212"/>
      <c r="O231" s="558"/>
      <c r="P231" s="212"/>
      <c r="Q231" s="212"/>
      <c r="R231" s="212"/>
    </row>
    <row r="232" spans="1:18" s="63" customFormat="1" ht="59.25" hidden="1" customHeight="1">
      <c r="A232" s="1068" t="s">
        <v>437</v>
      </c>
      <c r="B232" s="374">
        <v>1035</v>
      </c>
      <c r="C232" s="1029" t="s">
        <v>43</v>
      </c>
      <c r="D232" s="1029" t="s">
        <v>308</v>
      </c>
      <c r="E232" s="1029" t="s">
        <v>44</v>
      </c>
      <c r="F232" s="374" t="s">
        <v>27</v>
      </c>
      <c r="G232" s="226" t="s">
        <v>27</v>
      </c>
      <c r="H232" s="370" t="s">
        <v>27</v>
      </c>
      <c r="I232" s="299" t="s">
        <v>309</v>
      </c>
      <c r="J232" s="299" t="s">
        <v>166</v>
      </c>
      <c r="K232" s="171" t="s">
        <v>288</v>
      </c>
      <c r="L232" s="374" t="s">
        <v>34</v>
      </c>
      <c r="M232" s="374" t="s">
        <v>28</v>
      </c>
      <c r="N232" s="32">
        <v>0</v>
      </c>
      <c r="O232" s="219"/>
      <c r="P232" s="32">
        <v>0</v>
      </c>
      <c r="Q232" s="32">
        <v>0</v>
      </c>
      <c r="R232" s="32">
        <v>0</v>
      </c>
    </row>
    <row r="233" spans="1:18" s="63" customFormat="1" ht="59.25" hidden="1" customHeight="1">
      <c r="A233" s="1252" t="s">
        <v>559</v>
      </c>
      <c r="B233" s="19">
        <v>1036</v>
      </c>
      <c r="C233" s="1086"/>
      <c r="D233" s="1086"/>
      <c r="E233" s="1086"/>
      <c r="F233" s="19"/>
      <c r="G233" s="19"/>
      <c r="H233" s="19"/>
      <c r="I233" s="148"/>
      <c r="J233" s="148"/>
      <c r="K233" s="149"/>
      <c r="L233" s="19"/>
      <c r="M233" s="19"/>
      <c r="N233" s="105">
        <f t="shared" ref="N233:P233" si="9">SUM(N234:N235)</f>
        <v>0</v>
      </c>
      <c r="O233" s="508"/>
      <c r="P233" s="105">
        <f t="shared" si="9"/>
        <v>0</v>
      </c>
      <c r="Q233" s="105">
        <f t="shared" ref="Q233:R233" si="10">SUM(Q234:Q235)</f>
        <v>0</v>
      </c>
      <c r="R233" s="105">
        <f t="shared" si="10"/>
        <v>0</v>
      </c>
    </row>
    <row r="234" spans="1:18" s="63" customFormat="1" ht="59.25" hidden="1" customHeight="1">
      <c r="A234" s="1253"/>
      <c r="B234" s="1028"/>
      <c r="C234" s="1028"/>
      <c r="D234" s="1028"/>
      <c r="E234" s="1028"/>
      <c r="F234" s="1028"/>
      <c r="G234" s="1028"/>
      <c r="H234" s="1028"/>
      <c r="I234" s="1383" t="s">
        <v>719</v>
      </c>
      <c r="J234" s="1199" t="s">
        <v>60</v>
      </c>
      <c r="K234" s="1199" t="s">
        <v>567</v>
      </c>
      <c r="L234" s="206"/>
      <c r="M234" s="206"/>
      <c r="N234" s="207"/>
      <c r="O234" s="519"/>
      <c r="P234" s="207"/>
      <c r="Q234" s="207"/>
      <c r="R234" s="207"/>
    </row>
    <row r="235" spans="1:18" s="63" customFormat="1" ht="59.25" hidden="1" customHeight="1">
      <c r="A235" s="1230"/>
      <c r="B235" s="1065"/>
      <c r="C235" s="1065"/>
      <c r="D235" s="1065"/>
      <c r="E235" s="1065"/>
      <c r="F235" s="1065"/>
      <c r="G235" s="1065"/>
      <c r="H235" s="1065"/>
      <c r="I235" s="1384"/>
      <c r="J235" s="1250"/>
      <c r="K235" s="1250"/>
      <c r="L235" s="202" t="s">
        <v>34</v>
      </c>
      <c r="M235" s="202" t="s">
        <v>28</v>
      </c>
      <c r="N235" s="208">
        <v>0</v>
      </c>
      <c r="O235" s="465"/>
      <c r="P235" s="208">
        <v>0</v>
      </c>
      <c r="Q235" s="208">
        <v>0</v>
      </c>
      <c r="R235" s="208">
        <v>0</v>
      </c>
    </row>
    <row r="236" spans="1:18" s="63" customFormat="1" ht="35.25" customHeight="1">
      <c r="A236" s="1067" t="s">
        <v>438</v>
      </c>
      <c r="B236" s="802">
        <v>1040</v>
      </c>
      <c r="C236" s="1028"/>
      <c r="D236" s="1028"/>
      <c r="E236" s="1028"/>
      <c r="F236" s="802"/>
      <c r="G236" s="802"/>
      <c r="H236" s="802"/>
      <c r="I236" s="1118"/>
      <c r="J236" s="1118"/>
      <c r="K236" s="106"/>
      <c r="L236" s="467" t="s">
        <v>32</v>
      </c>
      <c r="M236" s="467" t="s">
        <v>29</v>
      </c>
      <c r="N236" s="17">
        <f>SUM(N237:N239)</f>
        <v>475.53100000000001</v>
      </c>
      <c r="O236" s="17">
        <f t="shared" ref="O236:R236" si="11">SUM(O237:O239)</f>
        <v>475.53100000000001</v>
      </c>
      <c r="P236" s="17">
        <f t="shared" si="11"/>
        <v>1830</v>
      </c>
      <c r="Q236" s="17">
        <f t="shared" si="11"/>
        <v>0</v>
      </c>
      <c r="R236" s="17">
        <f t="shared" si="11"/>
        <v>0</v>
      </c>
    </row>
    <row r="237" spans="1:18" s="62" customFormat="1" ht="12" customHeight="1">
      <c r="A237" s="618" t="s">
        <v>951</v>
      </c>
      <c r="B237" s="460"/>
      <c r="C237" s="1271" t="s">
        <v>503</v>
      </c>
      <c r="D237" s="1271" t="s">
        <v>72</v>
      </c>
      <c r="E237" s="1271" t="s">
        <v>73</v>
      </c>
      <c r="F237" s="460"/>
      <c r="G237" s="461"/>
      <c r="H237" s="461"/>
      <c r="I237" s="616"/>
      <c r="J237" s="616"/>
      <c r="K237" s="617"/>
      <c r="L237" s="1074"/>
      <c r="M237" s="1074"/>
      <c r="N237" s="418"/>
      <c r="O237" s="418"/>
      <c r="P237" s="418"/>
      <c r="Q237" s="418"/>
      <c r="R237" s="418"/>
    </row>
    <row r="238" spans="1:18" s="62" customFormat="1" ht="60" customHeight="1">
      <c r="A238" s="326" t="s">
        <v>1114</v>
      </c>
      <c r="B238" s="1001"/>
      <c r="C238" s="1159"/>
      <c r="D238" s="1159"/>
      <c r="E238" s="1159"/>
      <c r="F238" s="1001"/>
      <c r="G238" s="615"/>
      <c r="H238" s="615"/>
      <c r="I238" s="1035" t="s">
        <v>1525</v>
      </c>
      <c r="J238" s="1035" t="s">
        <v>947</v>
      </c>
      <c r="K238" s="1115" t="s">
        <v>731</v>
      </c>
      <c r="L238" s="1001"/>
      <c r="M238" s="1001"/>
      <c r="N238" s="214"/>
      <c r="O238" s="214"/>
      <c r="P238" s="214"/>
      <c r="Q238" s="214"/>
      <c r="R238" s="214"/>
    </row>
    <row r="239" spans="1:18" s="62" customFormat="1" ht="85.5" customHeight="1">
      <c r="A239" s="57" t="s">
        <v>1115</v>
      </c>
      <c r="B239" s="681"/>
      <c r="C239" s="1167"/>
      <c r="D239" s="1167"/>
      <c r="E239" s="1167"/>
      <c r="F239" s="681"/>
      <c r="G239" s="57"/>
      <c r="H239" s="57"/>
      <c r="I239" s="1072" t="s">
        <v>504</v>
      </c>
      <c r="J239" s="1072" t="s">
        <v>505</v>
      </c>
      <c r="K239" s="1116" t="s">
        <v>69</v>
      </c>
      <c r="L239" s="1008"/>
      <c r="M239" s="1008"/>
      <c r="N239" s="559">
        <v>475.53100000000001</v>
      </c>
      <c r="O239" s="559">
        <v>475.53100000000001</v>
      </c>
      <c r="P239" s="559">
        <v>1830</v>
      </c>
      <c r="Q239" s="559">
        <v>0</v>
      </c>
      <c r="R239" s="559">
        <v>0</v>
      </c>
    </row>
    <row r="240" spans="1:18" s="63" customFormat="1" ht="36" customHeight="1">
      <c r="A240" s="31" t="s">
        <v>439</v>
      </c>
      <c r="B240" s="374">
        <v>1041</v>
      </c>
      <c r="C240" s="31"/>
      <c r="D240" s="31"/>
      <c r="E240" s="31"/>
      <c r="F240" s="31"/>
      <c r="G240" s="31"/>
      <c r="H240" s="31"/>
      <c r="I240" s="289"/>
      <c r="J240" s="289"/>
      <c r="K240" s="289"/>
      <c r="L240" s="399" t="s">
        <v>32</v>
      </c>
      <c r="M240" s="435" t="s">
        <v>30</v>
      </c>
      <c r="N240" s="224">
        <f>SUM(N241:N249)</f>
        <v>292.976</v>
      </c>
      <c r="O240" s="224">
        <f>SUM(O241:O249)</f>
        <v>284.976</v>
      </c>
      <c r="P240" s="224">
        <f>SUM(P241:P249)</f>
        <v>1146.7</v>
      </c>
      <c r="Q240" s="224">
        <f>SUM(Q241:Q249)</f>
        <v>700</v>
      </c>
      <c r="R240" s="224">
        <f>SUM(R241:R249)</f>
        <v>700</v>
      </c>
    </row>
    <row r="241" spans="1:18" s="62" customFormat="1" ht="12" customHeight="1">
      <c r="A241" s="603" t="s">
        <v>950</v>
      </c>
      <c r="B241" s="1056"/>
      <c r="C241" s="1238" t="s">
        <v>43</v>
      </c>
      <c r="D241" s="1059" t="s">
        <v>94</v>
      </c>
      <c r="E241" s="1059" t="s">
        <v>44</v>
      </c>
      <c r="F241" s="437" t="s">
        <v>27</v>
      </c>
      <c r="G241" s="437" t="s">
        <v>27</v>
      </c>
      <c r="H241" s="437" t="s">
        <v>27</v>
      </c>
      <c r="I241" s="620"/>
      <c r="J241" s="1052"/>
      <c r="K241" s="1052"/>
      <c r="L241" s="438"/>
      <c r="M241" s="1056"/>
      <c r="N241" s="462"/>
      <c r="O241" s="560"/>
      <c r="P241" s="462"/>
      <c r="Q241" s="462"/>
      <c r="R241" s="462"/>
    </row>
    <row r="242" spans="1:18" s="62" customFormat="1" ht="24" customHeight="1">
      <c r="A242" s="583" t="s">
        <v>1116</v>
      </c>
      <c r="B242" s="1038"/>
      <c r="C242" s="1189"/>
      <c r="D242" s="1019"/>
      <c r="E242" s="1019"/>
      <c r="F242" s="228"/>
      <c r="G242" s="228"/>
      <c r="H242" s="228"/>
      <c r="I242" s="1198" t="s">
        <v>1390</v>
      </c>
      <c r="J242" s="1242" t="s">
        <v>54</v>
      </c>
      <c r="K242" s="1242" t="s">
        <v>1391</v>
      </c>
      <c r="L242" s="229"/>
      <c r="M242" s="1038"/>
      <c r="N242" s="222"/>
      <c r="O242" s="222"/>
      <c r="P242" s="222"/>
      <c r="Q242" s="222"/>
      <c r="R242" s="222"/>
    </row>
    <row r="243" spans="1:18" s="62" customFormat="1" ht="24">
      <c r="A243" s="228" t="s">
        <v>1424</v>
      </c>
      <c r="B243" s="1038"/>
      <c r="C243" s="1189"/>
      <c r="D243" s="1019"/>
      <c r="E243" s="1019"/>
      <c r="F243" s="228"/>
      <c r="G243" s="228"/>
      <c r="H243" s="228"/>
      <c r="I243" s="1198"/>
      <c r="J243" s="1242"/>
      <c r="K243" s="1242"/>
      <c r="L243" s="229"/>
      <c r="M243" s="1038"/>
      <c r="N243" s="222">
        <v>0</v>
      </c>
      <c r="O243" s="222">
        <v>0</v>
      </c>
      <c r="P243" s="222">
        <v>80</v>
      </c>
      <c r="Q243" s="222">
        <v>0</v>
      </c>
      <c r="R243" s="222">
        <v>0</v>
      </c>
    </row>
    <row r="244" spans="1:18" s="62" customFormat="1" ht="84" customHeight="1">
      <c r="A244" s="228" t="s">
        <v>1425</v>
      </c>
      <c r="B244" s="1038"/>
      <c r="C244" s="1189"/>
      <c r="D244" s="1019"/>
      <c r="E244" s="1019"/>
      <c r="F244" s="228"/>
      <c r="G244" s="228"/>
      <c r="H244" s="228"/>
      <c r="I244" s="1027" t="s">
        <v>720</v>
      </c>
      <c r="J244" s="1027" t="s">
        <v>54</v>
      </c>
      <c r="K244" s="1027" t="s">
        <v>95</v>
      </c>
      <c r="L244" s="229"/>
      <c r="M244" s="1038"/>
      <c r="N244" s="222">
        <v>292.976</v>
      </c>
      <c r="O244" s="222">
        <v>284.976</v>
      </c>
      <c r="P244" s="222">
        <f>344+22.7</f>
        <v>366.7</v>
      </c>
      <c r="Q244" s="222">
        <v>0</v>
      </c>
      <c r="R244" s="222">
        <v>0</v>
      </c>
    </row>
    <row r="245" spans="1:18" s="62" customFormat="1" ht="48.75" customHeight="1">
      <c r="A245" s="920"/>
      <c r="B245" s="1062"/>
      <c r="C245" s="923"/>
      <c r="D245" s="923"/>
      <c r="E245" s="923"/>
      <c r="F245" s="1270"/>
      <c r="G245" s="1062"/>
      <c r="H245" s="1062"/>
      <c r="I245" s="1114" t="s">
        <v>328</v>
      </c>
      <c r="J245" s="1114" t="s">
        <v>54</v>
      </c>
      <c r="K245" s="1114" t="s">
        <v>55</v>
      </c>
      <c r="L245" s="921"/>
      <c r="M245" s="1062"/>
      <c r="N245" s="924"/>
      <c r="O245" s="924"/>
      <c r="P245" s="924"/>
      <c r="Q245" s="924"/>
      <c r="R245" s="924"/>
    </row>
    <row r="246" spans="1:18" s="62" customFormat="1" ht="73.5" customHeight="1">
      <c r="A246" s="920"/>
      <c r="B246" s="921"/>
      <c r="C246" s="923"/>
      <c r="D246" s="923"/>
      <c r="E246" s="923"/>
      <c r="F246" s="1270"/>
      <c r="G246" s="920"/>
      <c r="H246" s="920"/>
      <c r="I246" s="1114" t="s">
        <v>1028</v>
      </c>
      <c r="J246" s="1114" t="s">
        <v>54</v>
      </c>
      <c r="K246" s="1114" t="s">
        <v>743</v>
      </c>
      <c r="L246" s="921"/>
      <c r="M246" s="1062"/>
      <c r="N246" s="924"/>
      <c r="O246" s="924"/>
      <c r="P246" s="924"/>
      <c r="Q246" s="924"/>
      <c r="R246" s="924"/>
    </row>
    <row r="247" spans="1:18" s="96" customFormat="1" ht="48" customHeight="1">
      <c r="A247" s="955" t="s">
        <v>1438</v>
      </c>
      <c r="B247" s="956"/>
      <c r="C247" s="957"/>
      <c r="D247" s="957"/>
      <c r="E247" s="957"/>
      <c r="F247" s="1270" t="s">
        <v>616</v>
      </c>
      <c r="G247" s="1270" t="s">
        <v>1442</v>
      </c>
      <c r="H247" s="1270" t="s">
        <v>1443</v>
      </c>
      <c r="I247" s="958"/>
      <c r="J247" s="958"/>
      <c r="K247" s="958"/>
      <c r="L247" s="956"/>
      <c r="M247" s="959"/>
      <c r="N247" s="960"/>
      <c r="O247" s="960"/>
      <c r="P247" s="960"/>
      <c r="Q247" s="960"/>
      <c r="R247" s="960"/>
    </row>
    <row r="248" spans="1:18" s="62" customFormat="1" ht="29.25" customHeight="1">
      <c r="A248" s="920" t="s">
        <v>1439</v>
      </c>
      <c r="B248" s="921" t="s">
        <v>1440</v>
      </c>
      <c r="C248" s="923"/>
      <c r="D248" s="923"/>
      <c r="E248" s="923"/>
      <c r="F248" s="1270"/>
      <c r="G248" s="1270"/>
      <c r="H248" s="1270"/>
      <c r="I248" s="1114"/>
      <c r="J248" s="1114"/>
      <c r="K248" s="1114"/>
      <c r="L248" s="921"/>
      <c r="M248" s="1062"/>
      <c r="N248" s="924">
        <v>0</v>
      </c>
      <c r="O248" s="924">
        <v>0</v>
      </c>
      <c r="P248" s="924">
        <v>609</v>
      </c>
      <c r="Q248" s="924">
        <v>644</v>
      </c>
      <c r="R248" s="924">
        <v>637</v>
      </c>
    </row>
    <row r="249" spans="1:18" s="62" customFormat="1" ht="29.25" customHeight="1">
      <c r="A249" s="920"/>
      <c r="B249" s="921" t="s">
        <v>1441</v>
      </c>
      <c r="C249" s="923"/>
      <c r="D249" s="923"/>
      <c r="E249" s="923"/>
      <c r="F249" s="1270"/>
      <c r="G249" s="1270"/>
      <c r="H249" s="1270"/>
      <c r="I249" s="1114"/>
      <c r="J249" s="1114"/>
      <c r="K249" s="1114"/>
      <c r="L249" s="921"/>
      <c r="M249" s="1062"/>
      <c r="N249" s="924">
        <v>0</v>
      </c>
      <c r="O249" s="924">
        <v>0</v>
      </c>
      <c r="P249" s="924">
        <v>91</v>
      </c>
      <c r="Q249" s="924">
        <v>56</v>
      </c>
      <c r="R249" s="924">
        <v>63</v>
      </c>
    </row>
    <row r="250" spans="1:18" s="62" customFormat="1" ht="22.5" customHeight="1">
      <c r="A250" s="18" t="s">
        <v>441</v>
      </c>
      <c r="B250" s="82" t="s">
        <v>440</v>
      </c>
      <c r="C250" s="9"/>
      <c r="D250" s="9"/>
      <c r="E250" s="9"/>
      <c r="F250" s="9"/>
      <c r="G250" s="9"/>
      <c r="H250" s="107"/>
      <c r="I250" s="102"/>
      <c r="J250" s="102"/>
      <c r="K250" s="102"/>
      <c r="L250" s="468" t="s">
        <v>32</v>
      </c>
      <c r="M250" s="469">
        <v>12</v>
      </c>
      <c r="N250" s="105">
        <f>SUM(N251:N257)</f>
        <v>1600.0010000000002</v>
      </c>
      <c r="O250" s="105">
        <f>SUM(O251:O257)</f>
        <v>1600.0010000000002</v>
      </c>
      <c r="P250" s="105">
        <f>SUM(P251:P257)</f>
        <v>2176.46</v>
      </c>
      <c r="Q250" s="105">
        <f>SUM(Q251:Q257)</f>
        <v>100</v>
      </c>
      <c r="R250" s="105">
        <f>SUM(R251:R257)</f>
        <v>100</v>
      </c>
    </row>
    <row r="251" spans="1:18" s="62" customFormat="1" ht="12.75" customHeight="1">
      <c r="A251" s="621" t="s">
        <v>956</v>
      </c>
      <c r="B251" s="1029"/>
      <c r="C251" s="1221" t="s">
        <v>43</v>
      </c>
      <c r="D251" s="1221" t="s">
        <v>94</v>
      </c>
      <c r="E251" s="1221" t="s">
        <v>44</v>
      </c>
      <c r="F251" s="1268" t="s">
        <v>591</v>
      </c>
      <c r="G251" s="1268" t="s">
        <v>592</v>
      </c>
      <c r="H251" s="1025" t="s">
        <v>615</v>
      </c>
      <c r="I251" s="1025"/>
      <c r="J251" s="1025"/>
      <c r="K251" s="1025"/>
      <c r="L251" s="40"/>
      <c r="M251" s="371"/>
      <c r="N251" s="75"/>
      <c r="O251" s="221"/>
      <c r="P251" s="75"/>
      <c r="Q251" s="75"/>
      <c r="R251" s="75"/>
    </row>
    <row r="252" spans="1:18" s="62" customFormat="1" ht="96">
      <c r="A252" s="583" t="s">
        <v>1117</v>
      </c>
      <c r="B252" s="1038"/>
      <c r="C252" s="1189"/>
      <c r="D252" s="1189"/>
      <c r="E252" s="1189"/>
      <c r="F252" s="1189"/>
      <c r="G252" s="1189"/>
      <c r="H252" s="1019"/>
      <c r="I252" s="1025" t="s">
        <v>1479</v>
      </c>
      <c r="J252" s="1025" t="s">
        <v>54</v>
      </c>
      <c r="K252" s="1025" t="s">
        <v>506</v>
      </c>
      <c r="L252" s="40"/>
      <c r="M252" s="284"/>
      <c r="N252" s="221"/>
      <c r="O252" s="221"/>
      <c r="P252" s="221"/>
      <c r="Q252" s="221"/>
      <c r="R252" s="221"/>
    </row>
    <row r="253" spans="1:18" s="62" customFormat="1" ht="60" customHeight="1">
      <c r="A253" s="22" t="s">
        <v>1118</v>
      </c>
      <c r="B253" s="1029"/>
      <c r="C253" s="336"/>
      <c r="D253" s="336"/>
      <c r="E253" s="336"/>
      <c r="F253" s="1189"/>
      <c r="G253" s="1189"/>
      <c r="H253" s="84"/>
      <c r="I253" s="1025" t="s">
        <v>96</v>
      </c>
      <c r="J253" s="1025" t="s">
        <v>54</v>
      </c>
      <c r="K253" s="1025" t="s">
        <v>97</v>
      </c>
      <c r="L253" s="33"/>
      <c r="M253" s="371"/>
      <c r="N253" s="75">
        <f>30.94+100</f>
        <v>130.94</v>
      </c>
      <c r="O253" s="221">
        <f>30.94+100</f>
        <v>130.94</v>
      </c>
      <c r="P253" s="75">
        <v>124.146</v>
      </c>
      <c r="Q253" s="75">
        <v>100</v>
      </c>
      <c r="R253" s="75">
        <v>100</v>
      </c>
    </row>
    <row r="254" spans="1:18" s="62" customFormat="1" ht="83.25" customHeight="1">
      <c r="A254" s="22"/>
      <c r="B254" s="436" t="s">
        <v>419</v>
      </c>
      <c r="C254" s="334"/>
      <c r="D254" s="334"/>
      <c r="E254" s="334"/>
      <c r="F254" s="1189"/>
      <c r="G254" s="1189"/>
      <c r="H254" s="334"/>
      <c r="I254" s="1025" t="s">
        <v>1518</v>
      </c>
      <c r="J254" s="1025" t="s">
        <v>54</v>
      </c>
      <c r="K254" s="1025" t="s">
        <v>1519</v>
      </c>
      <c r="L254" s="1029"/>
      <c r="M254" s="371"/>
      <c r="N254" s="75">
        <v>900</v>
      </c>
      <c r="O254" s="221">
        <v>900</v>
      </c>
      <c r="P254" s="75">
        <v>1117.3140000000001</v>
      </c>
      <c r="Q254" s="75">
        <v>0</v>
      </c>
      <c r="R254" s="75">
        <v>0</v>
      </c>
    </row>
    <row r="255" spans="1:18" s="62" customFormat="1" ht="60" customHeight="1">
      <c r="A255" s="228" t="s">
        <v>1119</v>
      </c>
      <c r="B255" s="1038"/>
      <c r="C255" s="336"/>
      <c r="D255" s="336"/>
      <c r="E255" s="336"/>
      <c r="F255" s="1189"/>
      <c r="G255" s="1189"/>
      <c r="H255" s="256"/>
      <c r="I255" s="1025" t="s">
        <v>1505</v>
      </c>
      <c r="J255" s="1025" t="s">
        <v>54</v>
      </c>
      <c r="K255" s="1025" t="s">
        <v>807</v>
      </c>
      <c r="L255" s="33"/>
      <c r="M255" s="284"/>
      <c r="N255" s="221">
        <v>569.06100000000004</v>
      </c>
      <c r="O255" s="221">
        <v>569.06100000000004</v>
      </c>
      <c r="P255" s="221">
        <v>935</v>
      </c>
      <c r="Q255" s="221">
        <v>0</v>
      </c>
      <c r="R255" s="221">
        <v>0</v>
      </c>
    </row>
    <row r="256" spans="1:18" s="62" customFormat="1" ht="85.5" customHeight="1">
      <c r="A256" s="228"/>
      <c r="B256" s="1038"/>
      <c r="C256" s="255"/>
      <c r="D256" s="255"/>
      <c r="E256" s="255"/>
      <c r="F256" s="256"/>
      <c r="G256" s="256"/>
      <c r="H256" s="256"/>
      <c r="I256" s="1019" t="s">
        <v>1029</v>
      </c>
      <c r="J256" s="1019" t="s">
        <v>54</v>
      </c>
      <c r="K256" s="1019" t="s">
        <v>803</v>
      </c>
      <c r="L256" s="33"/>
      <c r="M256" s="284"/>
      <c r="N256" s="221"/>
      <c r="O256" s="221"/>
      <c r="P256" s="221"/>
      <c r="Q256" s="221"/>
      <c r="R256" s="221"/>
    </row>
    <row r="257" spans="1:18" s="62" customFormat="1" ht="37.5" customHeight="1">
      <c r="A257" s="22"/>
      <c r="B257" s="1029"/>
      <c r="C257" s="334"/>
      <c r="D257" s="334"/>
      <c r="E257" s="334"/>
      <c r="F257" s="84"/>
      <c r="G257" s="84"/>
      <c r="H257" s="84"/>
      <c r="I257" s="1025" t="s">
        <v>70</v>
      </c>
      <c r="J257" s="1025" t="s">
        <v>54</v>
      </c>
      <c r="K257" s="1025" t="s">
        <v>57</v>
      </c>
      <c r="L257" s="33"/>
      <c r="M257" s="371"/>
      <c r="N257" s="75"/>
      <c r="O257" s="221"/>
      <c r="P257" s="75"/>
      <c r="Q257" s="75"/>
      <c r="R257" s="75"/>
    </row>
    <row r="258" spans="1:18" s="63" customFormat="1" ht="36.75" customHeight="1">
      <c r="A258" s="448" t="s">
        <v>443</v>
      </c>
      <c r="B258" s="468" t="s">
        <v>442</v>
      </c>
      <c r="C258" s="474"/>
      <c r="D258" s="474"/>
      <c r="E258" s="474"/>
      <c r="F258" s="474"/>
      <c r="G258" s="474"/>
      <c r="H258" s="474"/>
      <c r="I258" s="475"/>
      <c r="J258" s="472"/>
      <c r="K258" s="472"/>
      <c r="L258" s="469" t="s">
        <v>28</v>
      </c>
      <c r="M258" s="469" t="s">
        <v>22</v>
      </c>
      <c r="N258" s="473">
        <f>SUM(N259:N261)</f>
        <v>1933.8230000000001</v>
      </c>
      <c r="O258" s="473">
        <f>SUM(O259:O261)</f>
        <v>1928.8230000000001</v>
      </c>
      <c r="P258" s="473">
        <f>SUM(P259:P261)</f>
        <v>2528.3000000000002</v>
      </c>
      <c r="Q258" s="473">
        <f>SUM(Q259:Q261)</f>
        <v>2528.3000000000002</v>
      </c>
      <c r="R258" s="473">
        <f>SUM(R259:R261)</f>
        <v>2528.3000000000002</v>
      </c>
    </row>
    <row r="259" spans="1:18" s="63" customFormat="1" ht="12.75" customHeight="1">
      <c r="A259" s="625" t="s">
        <v>996</v>
      </c>
      <c r="B259" s="626"/>
      <c r="C259" s="1221" t="s">
        <v>151</v>
      </c>
      <c r="D259" s="1221" t="s">
        <v>152</v>
      </c>
      <c r="E259" s="1221" t="s">
        <v>153</v>
      </c>
      <c r="F259" s="1043"/>
      <c r="G259" s="1043"/>
      <c r="H259" s="1043"/>
      <c r="I259" s="622"/>
      <c r="J259" s="620"/>
      <c r="K259" s="620"/>
      <c r="L259" s="623"/>
      <c r="M259" s="623"/>
      <c r="N259" s="624"/>
      <c r="O259" s="624"/>
      <c r="P259" s="624"/>
      <c r="Q259" s="624"/>
      <c r="R259" s="624"/>
    </row>
    <row r="260" spans="1:18" s="63" customFormat="1" ht="48" customHeight="1">
      <c r="A260" s="583" t="s">
        <v>1120</v>
      </c>
      <c r="B260" s="399"/>
      <c r="C260" s="1189"/>
      <c r="D260" s="1189"/>
      <c r="E260" s="1189"/>
      <c r="F260" s="1019"/>
      <c r="G260" s="1019"/>
      <c r="H260" s="1019"/>
      <c r="I260" s="873" t="s">
        <v>1403</v>
      </c>
      <c r="J260" s="1027" t="s">
        <v>54</v>
      </c>
      <c r="K260" s="1027" t="s">
        <v>1391</v>
      </c>
      <c r="L260" s="435"/>
      <c r="M260" s="435"/>
      <c r="N260" s="220"/>
      <c r="O260" s="220"/>
      <c r="P260" s="220"/>
      <c r="Q260" s="220"/>
      <c r="R260" s="220"/>
    </row>
    <row r="261" spans="1:18" s="63" customFormat="1" ht="60.75" customHeight="1">
      <c r="A261" s="228" t="s">
        <v>1121</v>
      </c>
      <c r="B261" s="399"/>
      <c r="C261" s="1189"/>
      <c r="D261" s="1189"/>
      <c r="E261" s="1189"/>
      <c r="F261" s="1019"/>
      <c r="G261" s="1019"/>
      <c r="H261" s="1019"/>
      <c r="I261" s="477" t="s">
        <v>154</v>
      </c>
      <c r="J261" s="478" t="s">
        <v>54</v>
      </c>
      <c r="K261" s="478" t="s">
        <v>155</v>
      </c>
      <c r="L261" s="435"/>
      <c r="M261" s="435"/>
      <c r="N261" s="220">
        <v>1933.8230000000001</v>
      </c>
      <c r="O261" s="220">
        <v>1928.8230000000001</v>
      </c>
      <c r="P261" s="220">
        <v>2528.3000000000002</v>
      </c>
      <c r="Q261" s="220">
        <v>2528.3000000000002</v>
      </c>
      <c r="R261" s="220">
        <v>2528.3000000000002</v>
      </c>
    </row>
    <row r="262" spans="1:18" s="62" customFormat="1" ht="36" customHeight="1">
      <c r="A262" s="448" t="s">
        <v>445</v>
      </c>
      <c r="B262" s="468" t="s">
        <v>444</v>
      </c>
      <c r="C262" s="470"/>
      <c r="D262" s="470"/>
      <c r="E262" s="470"/>
      <c r="F262" s="470"/>
      <c r="G262" s="470"/>
      <c r="H262" s="471"/>
      <c r="I262" s="472"/>
      <c r="J262" s="472"/>
      <c r="K262" s="472"/>
      <c r="L262" s="469">
        <v>11</v>
      </c>
      <c r="M262" s="626" t="s">
        <v>28</v>
      </c>
      <c r="N262" s="473">
        <f t="shared" ref="N262:R262" si="12">SUM(N263:N269)</f>
        <v>2491.5160000000001</v>
      </c>
      <c r="O262" s="473">
        <f t="shared" si="12"/>
        <v>2491.5160000000001</v>
      </c>
      <c r="P262" s="473">
        <f t="shared" si="12"/>
        <v>2498</v>
      </c>
      <c r="Q262" s="473">
        <f t="shared" si="12"/>
        <v>2498</v>
      </c>
      <c r="R262" s="473">
        <f t="shared" si="12"/>
        <v>2498</v>
      </c>
    </row>
    <row r="263" spans="1:18" s="62" customFormat="1" ht="13.5" customHeight="1">
      <c r="A263" s="603" t="s">
        <v>997</v>
      </c>
      <c r="B263" s="1038"/>
      <c r="C263" s="1221" t="s">
        <v>43</v>
      </c>
      <c r="D263" s="1221" t="s">
        <v>99</v>
      </c>
      <c r="E263" s="1221" t="s">
        <v>44</v>
      </c>
      <c r="F263" s="1221" t="s">
        <v>357</v>
      </c>
      <c r="G263" s="1221" t="s">
        <v>359</v>
      </c>
      <c r="H263" s="1221" t="s">
        <v>358</v>
      </c>
      <c r="I263" s="620"/>
      <c r="J263" s="620"/>
      <c r="K263" s="620"/>
      <c r="L263" s="627"/>
      <c r="M263" s="627"/>
      <c r="N263" s="628"/>
      <c r="O263" s="628"/>
      <c r="P263" s="628"/>
      <c r="Q263" s="628"/>
      <c r="R263" s="629"/>
    </row>
    <row r="264" spans="1:18" s="62" customFormat="1" ht="24">
      <c r="A264" s="583" t="s">
        <v>1122</v>
      </c>
      <c r="B264" s="1038"/>
      <c r="C264" s="1189"/>
      <c r="D264" s="1189"/>
      <c r="E264" s="1189"/>
      <c r="F264" s="1189"/>
      <c r="G264" s="1189"/>
      <c r="H264" s="1189"/>
      <c r="I264" s="1198" t="s">
        <v>1521</v>
      </c>
      <c r="J264" s="1198" t="s">
        <v>54</v>
      </c>
      <c r="K264" s="1198" t="s">
        <v>731</v>
      </c>
      <c r="L264" s="229"/>
      <c r="M264" s="229"/>
      <c r="N264" s="216"/>
      <c r="O264" s="216"/>
      <c r="P264" s="216"/>
      <c r="Q264" s="216"/>
      <c r="R264" s="67"/>
    </row>
    <row r="265" spans="1:18" s="62" customFormat="1" ht="49.5" customHeight="1">
      <c r="A265" s="228" t="s">
        <v>1123</v>
      </c>
      <c r="B265" s="1038"/>
      <c r="C265" s="1189"/>
      <c r="D265" s="1189"/>
      <c r="E265" s="1189"/>
      <c r="F265" s="1189"/>
      <c r="G265" s="1189"/>
      <c r="H265" s="1189"/>
      <c r="I265" s="1198"/>
      <c r="J265" s="1198"/>
      <c r="K265" s="1198"/>
      <c r="L265" s="229"/>
      <c r="M265" s="229"/>
      <c r="N265" s="216">
        <v>2491.5160000000001</v>
      </c>
      <c r="O265" s="216">
        <v>2491.5160000000001</v>
      </c>
      <c r="P265" s="216">
        <v>2498</v>
      </c>
      <c r="Q265" s="216">
        <v>2498</v>
      </c>
      <c r="R265" s="67">
        <v>2498</v>
      </c>
    </row>
    <row r="266" spans="1:18" s="62" customFormat="1" ht="12.75">
      <c r="A266" s="630"/>
      <c r="B266" s="1038"/>
      <c r="C266" s="1019"/>
      <c r="D266" s="1019"/>
      <c r="E266" s="1019"/>
      <c r="F266" s="1019"/>
      <c r="G266" s="1019"/>
      <c r="H266" s="678"/>
      <c r="I266" s="1208" t="s">
        <v>808</v>
      </c>
      <c r="J266" s="1208" t="s">
        <v>100</v>
      </c>
      <c r="K266" s="1208" t="s">
        <v>101</v>
      </c>
      <c r="L266" s="40"/>
      <c r="M266" s="147"/>
      <c r="N266" s="215"/>
      <c r="O266" s="215"/>
      <c r="P266" s="215"/>
      <c r="Q266" s="215"/>
      <c r="R266" s="215"/>
    </row>
    <row r="267" spans="1:18" s="62" customFormat="1" ht="94.5" customHeight="1">
      <c r="A267" s="530"/>
      <c r="B267" s="1038"/>
      <c r="C267" s="1019"/>
      <c r="D267" s="1019"/>
      <c r="E267" s="1019"/>
      <c r="F267" s="1019"/>
      <c r="G267" s="1019"/>
      <c r="H267" s="678"/>
      <c r="I267" s="1208"/>
      <c r="J267" s="1208"/>
      <c r="K267" s="1208"/>
      <c r="L267" s="40"/>
      <c r="M267" s="147"/>
      <c r="N267" s="215"/>
      <c r="O267" s="215"/>
      <c r="P267" s="215"/>
      <c r="Q267" s="215"/>
      <c r="R267" s="215"/>
    </row>
    <row r="268" spans="1:18" s="62" customFormat="1" ht="48" customHeight="1">
      <c r="A268" s="531"/>
      <c r="B268" s="1029"/>
      <c r="C268" s="1025"/>
      <c r="D268" s="1025"/>
      <c r="E268" s="1025"/>
      <c r="F268" s="1025"/>
      <c r="G268" s="1025"/>
      <c r="H268" s="1025"/>
      <c r="I268" s="1025" t="s">
        <v>363</v>
      </c>
      <c r="J268" s="1025" t="s">
        <v>54</v>
      </c>
      <c r="K268" s="1025" t="s">
        <v>347</v>
      </c>
      <c r="L268" s="436"/>
      <c r="M268" s="70"/>
      <c r="N268" s="46"/>
      <c r="O268" s="215"/>
      <c r="P268" s="46"/>
      <c r="Q268" s="46"/>
      <c r="R268" s="46"/>
    </row>
    <row r="269" spans="1:18" s="62" customFormat="1" ht="70.5" customHeight="1">
      <c r="A269" s="1078"/>
      <c r="B269" s="1029"/>
      <c r="C269" s="1025"/>
      <c r="D269" s="1025"/>
      <c r="E269" s="1025"/>
      <c r="F269" s="1025"/>
      <c r="G269" s="1025"/>
      <c r="H269" s="1100"/>
      <c r="I269" s="974" t="s">
        <v>669</v>
      </c>
      <c r="J269" s="974" t="s">
        <v>54</v>
      </c>
      <c r="K269" s="974" t="s">
        <v>93</v>
      </c>
      <c r="L269" s="296"/>
      <c r="M269" s="296"/>
      <c r="N269" s="58"/>
      <c r="O269" s="561"/>
      <c r="P269" s="58"/>
      <c r="Q269" s="58"/>
      <c r="R269" s="58"/>
    </row>
    <row r="270" spans="1:18" s="62" customFormat="1" ht="48" hidden="1">
      <c r="A270" s="22" t="s">
        <v>527</v>
      </c>
      <c r="B270" s="1029">
        <v>567</v>
      </c>
      <c r="C270" s="22"/>
      <c r="D270" s="22"/>
      <c r="E270" s="22"/>
      <c r="F270" s="1196" t="s">
        <v>593</v>
      </c>
      <c r="G270" s="1196" t="s">
        <v>594</v>
      </c>
      <c r="H270" s="1351" t="s">
        <v>615</v>
      </c>
      <c r="I270" s="805" t="s">
        <v>758</v>
      </c>
      <c r="J270" s="805" t="s">
        <v>54</v>
      </c>
      <c r="K270" s="152" t="s">
        <v>759</v>
      </c>
      <c r="L270" s="430">
        <v>11</v>
      </c>
      <c r="M270" s="297" t="s">
        <v>28</v>
      </c>
      <c r="N270" s="46">
        <v>0</v>
      </c>
      <c r="O270" s="215"/>
      <c r="P270" s="46">
        <v>0</v>
      </c>
      <c r="Q270" s="46">
        <v>0</v>
      </c>
      <c r="R270" s="46">
        <v>0</v>
      </c>
    </row>
    <row r="271" spans="1:18" s="62" customFormat="1" ht="59.25" hidden="1" customHeight="1">
      <c r="A271" s="22"/>
      <c r="B271" s="1029"/>
      <c r="C271" s="22"/>
      <c r="D271" s="22"/>
      <c r="E271" s="22"/>
      <c r="F271" s="1196"/>
      <c r="G271" s="1196"/>
      <c r="H271" s="1351"/>
      <c r="I271" s="868" t="s">
        <v>70</v>
      </c>
      <c r="J271" s="868" t="s">
        <v>54</v>
      </c>
      <c r="K271" s="868" t="s">
        <v>57</v>
      </c>
      <c r="L271" s="430"/>
      <c r="M271" s="430"/>
      <c r="N271" s="46"/>
      <c r="O271" s="215"/>
      <c r="P271" s="46"/>
      <c r="Q271" s="46"/>
      <c r="R271" s="46"/>
    </row>
    <row r="272" spans="1:18" s="63" customFormat="1" ht="36.75" customHeight="1">
      <c r="A272" s="38" t="s">
        <v>446</v>
      </c>
      <c r="B272" s="1011">
        <v>1047</v>
      </c>
      <c r="C272" s="38" t="s">
        <v>27</v>
      </c>
      <c r="D272" s="38" t="s">
        <v>27</v>
      </c>
      <c r="E272" s="38" t="s">
        <v>27</v>
      </c>
      <c r="F272" s="38" t="s">
        <v>27</v>
      </c>
      <c r="G272" s="38" t="s">
        <v>27</v>
      </c>
      <c r="H272" s="38" t="s">
        <v>27</v>
      </c>
      <c r="I272" s="38" t="s">
        <v>27</v>
      </c>
      <c r="J272" s="38" t="s">
        <v>27</v>
      </c>
      <c r="K272" s="38" t="s">
        <v>27</v>
      </c>
      <c r="L272" s="1011"/>
      <c r="M272" s="1011"/>
      <c r="N272" s="52">
        <f>SUM(N273:N282)</f>
        <v>11537.166999999999</v>
      </c>
      <c r="O272" s="52">
        <f>SUM(O273:O282)</f>
        <v>10606.066999999999</v>
      </c>
      <c r="P272" s="52">
        <f>SUM(P273:P282)</f>
        <v>16696.995999999999</v>
      </c>
      <c r="Q272" s="52">
        <f>SUM(Q273:Q282)</f>
        <v>15130.599999999999</v>
      </c>
      <c r="R272" s="52">
        <f>SUM(R273:R282)</f>
        <v>13537</v>
      </c>
    </row>
    <row r="273" spans="1:18" s="62" customFormat="1" ht="12" customHeight="1">
      <c r="A273" s="631" t="s">
        <v>1015</v>
      </c>
      <c r="B273" s="481"/>
      <c r="C273" s="1291" t="s">
        <v>43</v>
      </c>
      <c r="D273" s="1291" t="s">
        <v>99</v>
      </c>
      <c r="E273" s="1291" t="s">
        <v>44</v>
      </c>
      <c r="F273" s="1291" t="s">
        <v>357</v>
      </c>
      <c r="G273" s="1291" t="s">
        <v>359</v>
      </c>
      <c r="H273" s="1291" t="s">
        <v>358</v>
      </c>
      <c r="I273" s="1102"/>
      <c r="J273" s="1102"/>
      <c r="K273" s="632"/>
      <c r="L273" s="481"/>
      <c r="M273" s="482"/>
      <c r="N273" s="483"/>
      <c r="O273" s="562"/>
      <c r="P273" s="483"/>
      <c r="Q273" s="483"/>
      <c r="R273" s="484"/>
    </row>
    <row r="274" spans="1:18" s="62" customFormat="1" ht="71.25" customHeight="1">
      <c r="A274" s="583" t="s">
        <v>1124</v>
      </c>
      <c r="B274" s="1038"/>
      <c r="C274" s="1189"/>
      <c r="D274" s="1189"/>
      <c r="E274" s="1189"/>
      <c r="F274" s="1189"/>
      <c r="G274" s="1189"/>
      <c r="H274" s="1189"/>
      <c r="I274" s="1038" t="s">
        <v>1030</v>
      </c>
      <c r="J274" s="1038" t="s">
        <v>955</v>
      </c>
      <c r="K274" s="228" t="s">
        <v>731</v>
      </c>
      <c r="L274" s="1038"/>
      <c r="M274" s="229"/>
      <c r="N274" s="216"/>
      <c r="O274" s="216"/>
      <c r="P274" s="216"/>
      <c r="Q274" s="216"/>
      <c r="R274" s="67"/>
    </row>
    <row r="275" spans="1:18" s="62" customFormat="1" ht="121.5" customHeight="1">
      <c r="A275" s="228" t="s">
        <v>1125</v>
      </c>
      <c r="B275" s="1038"/>
      <c r="C275" s="1019"/>
      <c r="D275" s="1019"/>
      <c r="E275" s="1019"/>
      <c r="F275" s="1019"/>
      <c r="G275" s="1019"/>
      <c r="H275" s="1019"/>
      <c r="I275" s="1019" t="s">
        <v>808</v>
      </c>
      <c r="J275" s="1019" t="s">
        <v>100</v>
      </c>
      <c r="K275" s="1019" t="s">
        <v>101</v>
      </c>
      <c r="L275" s="1038">
        <v>11</v>
      </c>
      <c r="M275" s="229" t="s">
        <v>31</v>
      </c>
      <c r="N275" s="216">
        <v>900</v>
      </c>
      <c r="O275" s="216">
        <v>0</v>
      </c>
      <c r="P275" s="216">
        <v>900</v>
      </c>
      <c r="Q275" s="216">
        <v>0</v>
      </c>
      <c r="R275" s="67">
        <v>0</v>
      </c>
    </row>
    <row r="276" spans="1:18" s="62" customFormat="1" ht="36" customHeight="1">
      <c r="A276" s="228" t="s">
        <v>1126</v>
      </c>
      <c r="B276" s="1038"/>
      <c r="C276" s="1390" t="s">
        <v>354</v>
      </c>
      <c r="D276" s="1038" t="s">
        <v>355</v>
      </c>
      <c r="E276" s="1038" t="s">
        <v>356</v>
      </c>
      <c r="F276" s="228"/>
      <c r="G276" s="228"/>
      <c r="H276" s="228"/>
      <c r="I276" s="1027" t="s">
        <v>70</v>
      </c>
      <c r="J276" s="1027" t="s">
        <v>54</v>
      </c>
      <c r="K276" s="1027" t="s">
        <v>57</v>
      </c>
      <c r="L276" s="229" t="s">
        <v>20</v>
      </c>
      <c r="M276" s="229" t="s">
        <v>31</v>
      </c>
      <c r="N276" s="216">
        <v>5022.6670000000004</v>
      </c>
      <c r="O276" s="216">
        <v>4991.567</v>
      </c>
      <c r="P276" s="216">
        <v>5906.2690000000002</v>
      </c>
      <c r="Q276" s="216">
        <v>5239.8729999999996</v>
      </c>
      <c r="R276" s="67">
        <v>3646.2730000000001</v>
      </c>
    </row>
    <row r="277" spans="1:18" s="62" customFormat="1" ht="142.5" customHeight="1">
      <c r="A277" s="1047" t="s">
        <v>1127</v>
      </c>
      <c r="B277" s="1038"/>
      <c r="C277" s="1390"/>
      <c r="D277" s="228"/>
      <c r="E277" s="228"/>
      <c r="F277" s="228"/>
      <c r="G277" s="228"/>
      <c r="H277" s="228"/>
      <c r="I277" s="1019" t="s">
        <v>933</v>
      </c>
      <c r="J277" s="1019" t="s">
        <v>54</v>
      </c>
      <c r="K277" s="1019" t="s">
        <v>348</v>
      </c>
      <c r="L277" s="229" t="s">
        <v>20</v>
      </c>
      <c r="M277" s="229" t="s">
        <v>31</v>
      </c>
      <c r="N277" s="216">
        <v>30</v>
      </c>
      <c r="O277" s="216">
        <v>30</v>
      </c>
      <c r="P277" s="216">
        <v>204.727</v>
      </c>
      <c r="Q277" s="216">
        <v>204.727</v>
      </c>
      <c r="R277" s="67">
        <v>204.727</v>
      </c>
    </row>
    <row r="278" spans="1:18" s="62" customFormat="1" ht="96.75" customHeight="1">
      <c r="A278" s="1047"/>
      <c r="B278" s="229" t="s">
        <v>545</v>
      </c>
      <c r="C278" s="228"/>
      <c r="D278" s="228"/>
      <c r="E278" s="228"/>
      <c r="F278" s="1189" t="s">
        <v>593</v>
      </c>
      <c r="G278" s="1019" t="s">
        <v>596</v>
      </c>
      <c r="H278" s="1019" t="s">
        <v>615</v>
      </c>
      <c r="I278" s="1019" t="s">
        <v>1537</v>
      </c>
      <c r="J278" s="1019" t="s">
        <v>54</v>
      </c>
      <c r="K278" s="1019" t="s">
        <v>1538</v>
      </c>
      <c r="L278" s="229" t="s">
        <v>20</v>
      </c>
      <c r="M278" s="229" t="s">
        <v>31</v>
      </c>
      <c r="N278" s="216">
        <v>300</v>
      </c>
      <c r="O278" s="216">
        <v>300</v>
      </c>
      <c r="P278" s="216">
        <v>2047.5</v>
      </c>
      <c r="Q278" s="216">
        <v>2047.5</v>
      </c>
      <c r="R278" s="67">
        <v>2047.5</v>
      </c>
    </row>
    <row r="279" spans="1:18" s="62" customFormat="1" ht="66" customHeight="1">
      <c r="A279" s="1227" t="s">
        <v>1128</v>
      </c>
      <c r="B279" s="229" t="s">
        <v>294</v>
      </c>
      <c r="C279" s="228"/>
      <c r="D279" s="228"/>
      <c r="E279" s="228"/>
      <c r="F279" s="1189"/>
      <c r="G279" s="1019" t="s">
        <v>595</v>
      </c>
      <c r="H279" s="1019" t="s">
        <v>615</v>
      </c>
      <c r="I279" s="1189" t="s">
        <v>879</v>
      </c>
      <c r="J279" s="1019" t="s">
        <v>54</v>
      </c>
      <c r="K279" s="1019" t="s">
        <v>880</v>
      </c>
      <c r="L279" s="229" t="s">
        <v>20</v>
      </c>
      <c r="M279" s="229" t="s">
        <v>35</v>
      </c>
      <c r="N279" s="216">
        <v>154.9</v>
      </c>
      <c r="O279" s="216">
        <v>154.9</v>
      </c>
      <c r="P279" s="216">
        <v>154.9</v>
      </c>
      <c r="Q279" s="216">
        <v>154.9</v>
      </c>
      <c r="R279" s="67">
        <v>154.9</v>
      </c>
    </row>
    <row r="280" spans="1:18" s="62" customFormat="1" ht="55.5" customHeight="1">
      <c r="A280" s="1227"/>
      <c r="B280" s="229"/>
      <c r="C280" s="228"/>
      <c r="D280" s="228"/>
      <c r="E280" s="228"/>
      <c r="F280" s="256"/>
      <c r="G280" s="256"/>
      <c r="H280" s="256"/>
      <c r="I280" s="1189"/>
      <c r="J280" s="1019"/>
      <c r="K280" s="1019"/>
      <c r="L280" s="229" t="s">
        <v>20</v>
      </c>
      <c r="M280" s="229" t="s">
        <v>35</v>
      </c>
      <c r="N280" s="216">
        <f>11.7</f>
        <v>11.7</v>
      </c>
      <c r="O280" s="216">
        <v>11.7</v>
      </c>
      <c r="P280" s="216">
        <v>19.5</v>
      </c>
      <c r="Q280" s="216">
        <v>19.5</v>
      </c>
      <c r="R280" s="67">
        <v>19.5</v>
      </c>
    </row>
    <row r="281" spans="1:18" s="96" customFormat="1" ht="24">
      <c r="A281" s="610" t="s">
        <v>1129</v>
      </c>
      <c r="B281" s="605"/>
      <c r="C281" s="583"/>
      <c r="D281" s="583"/>
      <c r="E281" s="583"/>
      <c r="F281" s="633"/>
      <c r="G281" s="633"/>
      <c r="H281" s="633"/>
      <c r="I281" s="1198" t="s">
        <v>1521</v>
      </c>
      <c r="J281" s="1198" t="s">
        <v>54</v>
      </c>
      <c r="K281" s="1198" t="s">
        <v>731</v>
      </c>
      <c r="L281" s="605"/>
      <c r="M281" s="605"/>
      <c r="N281" s="607"/>
      <c r="O281" s="607"/>
      <c r="P281" s="607"/>
      <c r="Q281" s="607"/>
      <c r="R281" s="607"/>
    </row>
    <row r="282" spans="1:18" s="62" customFormat="1" ht="48.75" customHeight="1">
      <c r="A282" s="1047" t="s">
        <v>1130</v>
      </c>
      <c r="B282" s="229"/>
      <c r="C282" s="228"/>
      <c r="D282" s="228"/>
      <c r="E282" s="228"/>
      <c r="F282" s="256"/>
      <c r="G282" s="256"/>
      <c r="H282" s="256"/>
      <c r="I282" s="1198"/>
      <c r="J282" s="1198"/>
      <c r="K282" s="1198"/>
      <c r="L282" s="887" t="s">
        <v>20</v>
      </c>
      <c r="M282" s="887" t="s">
        <v>35</v>
      </c>
      <c r="N282" s="888">
        <v>5117.8999999999996</v>
      </c>
      <c r="O282" s="888">
        <v>5117.8999999999996</v>
      </c>
      <c r="P282" s="888">
        <v>7464.1</v>
      </c>
      <c r="Q282" s="888">
        <v>7464.1</v>
      </c>
      <c r="R282" s="888">
        <v>7464.1</v>
      </c>
    </row>
    <row r="283" spans="1:18" s="63" customFormat="1" ht="146.25" customHeight="1">
      <c r="A283" s="101" t="s">
        <v>1553</v>
      </c>
      <c r="B283" s="19">
        <v>1048</v>
      </c>
      <c r="C283" s="18"/>
      <c r="D283" s="18"/>
      <c r="E283" s="18"/>
      <c r="F283" s="18"/>
      <c r="G283" s="18"/>
      <c r="H283" s="18"/>
      <c r="I283" s="1"/>
      <c r="J283" s="1"/>
      <c r="K283" s="1"/>
      <c r="L283" s="435" t="s">
        <v>36</v>
      </c>
      <c r="M283" s="435" t="s">
        <v>36</v>
      </c>
      <c r="N283" s="886">
        <f t="shared" ref="N283:R283" si="13">SUM(N284:N286)</f>
        <v>223.375</v>
      </c>
      <c r="O283" s="886">
        <f t="shared" si="13"/>
        <v>223.375</v>
      </c>
      <c r="P283" s="886">
        <f t="shared" si="13"/>
        <v>352.4</v>
      </c>
      <c r="Q283" s="886">
        <f t="shared" si="13"/>
        <v>0</v>
      </c>
      <c r="R283" s="886">
        <f t="shared" si="13"/>
        <v>0</v>
      </c>
    </row>
    <row r="284" spans="1:18" s="62" customFormat="1" ht="13.5" customHeight="1">
      <c r="A284" s="603" t="s">
        <v>998</v>
      </c>
      <c r="B284" s="466"/>
      <c r="C284" s="1221" t="s">
        <v>102</v>
      </c>
      <c r="D284" s="1221" t="s">
        <v>103</v>
      </c>
      <c r="E284" s="1221" t="s">
        <v>44</v>
      </c>
      <c r="F284" s="1059"/>
      <c r="G284" s="1059"/>
      <c r="H284" s="1059"/>
      <c r="I284" s="1063"/>
      <c r="J284" s="1063"/>
      <c r="K284" s="634"/>
      <c r="L284" s="1063"/>
      <c r="M284" s="1063"/>
      <c r="N284" s="624"/>
      <c r="O284" s="624"/>
      <c r="P284" s="624"/>
      <c r="Q284" s="624"/>
      <c r="R284" s="624"/>
    </row>
    <row r="285" spans="1:18" s="62" customFormat="1" ht="71.25" customHeight="1">
      <c r="A285" s="583" t="s">
        <v>1131</v>
      </c>
      <c r="B285" s="435"/>
      <c r="C285" s="1189"/>
      <c r="D285" s="1189"/>
      <c r="E285" s="1189"/>
      <c r="F285" s="1019"/>
      <c r="G285" s="1019"/>
      <c r="H285" s="1019"/>
      <c r="I285" s="1038" t="s">
        <v>891</v>
      </c>
      <c r="J285" s="1038" t="s">
        <v>947</v>
      </c>
      <c r="K285" s="228" t="s">
        <v>731</v>
      </c>
      <c r="L285" s="1038"/>
      <c r="M285" s="1038"/>
      <c r="N285" s="220"/>
      <c r="O285" s="220"/>
      <c r="P285" s="220"/>
      <c r="Q285" s="220"/>
      <c r="R285" s="220"/>
    </row>
    <row r="286" spans="1:18" s="62" customFormat="1" ht="73.5" customHeight="1">
      <c r="A286" s="463" t="s">
        <v>1132</v>
      </c>
      <c r="B286" s="479"/>
      <c r="C286" s="1292"/>
      <c r="D286" s="1292"/>
      <c r="E286" s="1292"/>
      <c r="F286" s="1076"/>
      <c r="G286" s="1076"/>
      <c r="H286" s="1076"/>
      <c r="I286" s="1076" t="s">
        <v>597</v>
      </c>
      <c r="J286" s="1076" t="s">
        <v>78</v>
      </c>
      <c r="K286" s="1076" t="s">
        <v>104</v>
      </c>
      <c r="L286" s="1064"/>
      <c r="M286" s="1064"/>
      <c r="N286" s="220">
        <v>223.375</v>
      </c>
      <c r="O286" s="220">
        <v>223.375</v>
      </c>
      <c r="P286" s="220">
        <v>352.4</v>
      </c>
      <c r="Q286" s="220">
        <v>0</v>
      </c>
      <c r="R286" s="220">
        <v>0</v>
      </c>
    </row>
    <row r="287" spans="1:18" s="62" customFormat="1" ht="37.5" customHeight="1">
      <c r="A287" s="506" t="s">
        <v>1133</v>
      </c>
      <c r="B287" s="19">
        <v>1055</v>
      </c>
      <c r="C287" s="138"/>
      <c r="D287" s="138"/>
      <c r="E287" s="138"/>
      <c r="F287" s="138"/>
      <c r="G287" s="138"/>
      <c r="H287" s="138"/>
      <c r="I287" s="138"/>
      <c r="J287" s="138"/>
      <c r="K287" s="138"/>
      <c r="L287" s="521" t="s">
        <v>32</v>
      </c>
      <c r="M287" s="521" t="s">
        <v>21</v>
      </c>
      <c r="N287" s="105">
        <f t="shared" ref="N287:Q287" si="14">SUM(N288:N291)</f>
        <v>3097.9490000000005</v>
      </c>
      <c r="O287" s="105">
        <f t="shared" si="14"/>
        <v>3097.9490000000005</v>
      </c>
      <c r="P287" s="105">
        <f t="shared" si="14"/>
        <v>0</v>
      </c>
      <c r="Q287" s="105">
        <f t="shared" si="14"/>
        <v>0</v>
      </c>
      <c r="R287" s="105">
        <f t="shared" ref="R287" si="15">SUM(R288:R291)</f>
        <v>0</v>
      </c>
    </row>
    <row r="288" spans="1:18" s="63" customFormat="1" ht="12">
      <c r="A288" s="583" t="s">
        <v>1134</v>
      </c>
      <c r="B288" s="627"/>
      <c r="C288" s="1063"/>
      <c r="D288" s="1063"/>
      <c r="E288" s="1063"/>
      <c r="F288" s="1248" t="s">
        <v>744</v>
      </c>
      <c r="G288" s="1248" t="s">
        <v>745</v>
      </c>
      <c r="H288" s="1248" t="s">
        <v>615</v>
      </c>
      <c r="I288" s="1063"/>
      <c r="J288" s="1063"/>
      <c r="K288" s="1063"/>
      <c r="L288" s="627"/>
      <c r="M288" s="627"/>
      <c r="N288" s="624"/>
      <c r="O288" s="624"/>
      <c r="P288" s="624"/>
      <c r="Q288" s="624"/>
      <c r="R288" s="635"/>
    </row>
    <row r="289" spans="1:18" s="63" customFormat="1" ht="28.5" customHeight="1">
      <c r="A289" s="1227" t="s">
        <v>1135</v>
      </c>
      <c r="B289" s="229" t="s">
        <v>655</v>
      </c>
      <c r="C289" s="1038"/>
      <c r="D289" s="1038"/>
      <c r="E289" s="1038"/>
      <c r="F289" s="1213"/>
      <c r="G289" s="1213"/>
      <c r="H289" s="1213"/>
      <c r="I289" s="1213" t="s">
        <v>912</v>
      </c>
      <c r="J289" s="1038" t="s">
        <v>54</v>
      </c>
      <c r="K289" s="1038" t="s">
        <v>913</v>
      </c>
      <c r="L289" s="229"/>
      <c r="M289" s="229"/>
      <c r="N289" s="220">
        <v>607.50800000000004</v>
      </c>
      <c r="O289" s="220">
        <v>607.50800000000004</v>
      </c>
      <c r="P289" s="220">
        <v>0</v>
      </c>
      <c r="Q289" s="220">
        <v>0</v>
      </c>
      <c r="R289" s="78">
        <v>0</v>
      </c>
    </row>
    <row r="290" spans="1:18" s="63" customFormat="1" ht="28.5" customHeight="1">
      <c r="A290" s="1227"/>
      <c r="B290" s="229"/>
      <c r="C290" s="1038"/>
      <c r="D290" s="1038"/>
      <c r="E290" s="1038"/>
      <c r="F290" s="1213"/>
      <c r="G290" s="1213"/>
      <c r="H290" s="1213"/>
      <c r="I290" s="1213"/>
      <c r="J290" s="1038"/>
      <c r="K290" s="1038"/>
      <c r="L290" s="229"/>
      <c r="M290" s="229"/>
      <c r="N290" s="220">
        <v>36.555999999999997</v>
      </c>
      <c r="O290" s="220">
        <v>36.555999999999997</v>
      </c>
      <c r="P290" s="220">
        <v>0</v>
      </c>
      <c r="Q290" s="220">
        <v>0</v>
      </c>
      <c r="R290" s="78">
        <v>0</v>
      </c>
    </row>
    <row r="291" spans="1:18" s="63" customFormat="1" ht="28.5" customHeight="1">
      <c r="A291" s="463"/>
      <c r="B291" s="464" t="s">
        <v>656</v>
      </c>
      <c r="C291" s="1064"/>
      <c r="D291" s="1064"/>
      <c r="E291" s="1064"/>
      <c r="F291" s="1249"/>
      <c r="G291" s="1249"/>
      <c r="H291" s="1249"/>
      <c r="I291" s="1249"/>
      <c r="J291" s="1064"/>
      <c r="K291" s="525"/>
      <c r="L291" s="464"/>
      <c r="M291" s="464"/>
      <c r="N291" s="465">
        <v>2453.8850000000002</v>
      </c>
      <c r="O291" s="465">
        <v>2453.8850000000002</v>
      </c>
      <c r="P291" s="465">
        <v>0</v>
      </c>
      <c r="Q291" s="465">
        <v>0</v>
      </c>
      <c r="R291" s="526">
        <v>0</v>
      </c>
    </row>
    <row r="292" spans="1:18" s="63" customFormat="1" ht="119.25" customHeight="1">
      <c r="A292" s="486" t="s">
        <v>694</v>
      </c>
      <c r="B292" s="487">
        <v>1059</v>
      </c>
      <c r="C292" s="488"/>
      <c r="D292" s="488"/>
      <c r="E292" s="488"/>
      <c r="F292" s="488"/>
      <c r="G292" s="488"/>
      <c r="H292" s="488"/>
      <c r="I292" s="489"/>
      <c r="J292" s="480"/>
      <c r="K292" s="480"/>
      <c r="L292" s="487"/>
      <c r="M292" s="487"/>
      <c r="N292" s="490">
        <f t="shared" ref="N292:R292" si="16">SUM(N293:N303)</f>
        <v>1443.155</v>
      </c>
      <c r="O292" s="490">
        <f t="shared" si="16"/>
        <v>1438.6999999999998</v>
      </c>
      <c r="P292" s="490">
        <f t="shared" si="16"/>
        <v>4572.652</v>
      </c>
      <c r="Q292" s="490">
        <f t="shared" si="16"/>
        <v>696.8</v>
      </c>
      <c r="R292" s="490">
        <f t="shared" si="16"/>
        <v>696.8</v>
      </c>
    </row>
    <row r="293" spans="1:18" s="62" customFormat="1" ht="12.75" customHeight="1">
      <c r="A293" s="636" t="s">
        <v>999</v>
      </c>
      <c r="B293" s="492"/>
      <c r="C293" s="491"/>
      <c r="D293" s="491"/>
      <c r="E293" s="491"/>
      <c r="F293" s="491"/>
      <c r="G293" s="491"/>
      <c r="H293" s="491"/>
      <c r="I293" s="619"/>
      <c r="J293" s="620"/>
      <c r="K293" s="620"/>
      <c r="L293" s="492"/>
      <c r="M293" s="492"/>
      <c r="N293" s="494"/>
      <c r="O293" s="519"/>
      <c r="P293" s="494"/>
      <c r="Q293" s="494"/>
      <c r="R293" s="494"/>
    </row>
    <row r="294" spans="1:18" s="62" customFormat="1" ht="36" customHeight="1">
      <c r="A294" s="583" t="s">
        <v>1136</v>
      </c>
      <c r="B294" s="1038"/>
      <c r="C294" s="1036"/>
      <c r="D294" s="1036"/>
      <c r="E294" s="1036"/>
      <c r="F294" s="1036"/>
      <c r="G294" s="1036"/>
      <c r="H294" s="1036"/>
      <c r="I294" s="1198" t="s">
        <v>1478</v>
      </c>
      <c r="J294" s="1027" t="s">
        <v>54</v>
      </c>
      <c r="K294" s="1027" t="s">
        <v>732</v>
      </c>
      <c r="L294" s="1038"/>
      <c r="M294" s="1038"/>
      <c r="N294" s="220"/>
      <c r="O294" s="220"/>
      <c r="P294" s="220"/>
      <c r="Q294" s="220"/>
      <c r="R294" s="220"/>
    </row>
    <row r="295" spans="1:18" s="62" customFormat="1" ht="37.5" customHeight="1">
      <c r="A295" s="228" t="s">
        <v>1137</v>
      </c>
      <c r="B295" s="1038"/>
      <c r="C295" s="1036"/>
      <c r="D295" s="1036"/>
      <c r="E295" s="1036"/>
      <c r="F295" s="1036"/>
      <c r="G295" s="1036"/>
      <c r="H295" s="1036"/>
      <c r="I295" s="1198"/>
      <c r="J295" s="1027"/>
      <c r="K295" s="1027"/>
      <c r="L295" s="229" t="s">
        <v>19</v>
      </c>
      <c r="M295" s="229" t="s">
        <v>35</v>
      </c>
      <c r="N295" s="220">
        <v>0</v>
      </c>
      <c r="O295" s="220">
        <v>0</v>
      </c>
      <c r="P295" s="220">
        <v>105</v>
      </c>
      <c r="Q295" s="220">
        <v>100</v>
      </c>
      <c r="R295" s="220">
        <v>100</v>
      </c>
    </row>
    <row r="296" spans="1:18" s="62" customFormat="1" ht="25.5" customHeight="1">
      <c r="A296" s="228"/>
      <c r="B296" s="229" t="s">
        <v>1427</v>
      </c>
      <c r="C296" s="1036"/>
      <c r="D296" s="1036"/>
      <c r="E296" s="1036"/>
      <c r="F296" s="1036"/>
      <c r="G296" s="1036"/>
      <c r="H296" s="1036"/>
      <c r="I296" s="1382" t="s">
        <v>647</v>
      </c>
      <c r="J296" s="1382" t="s">
        <v>54</v>
      </c>
      <c r="K296" s="1382" t="s">
        <v>97</v>
      </c>
      <c r="L296" s="229" t="s">
        <v>19</v>
      </c>
      <c r="M296" s="229" t="s">
        <v>35</v>
      </c>
      <c r="N296" s="220">
        <v>0</v>
      </c>
      <c r="O296" s="220">
        <v>0</v>
      </c>
      <c r="P296" s="220">
        <v>55.621000000000002</v>
      </c>
      <c r="Q296" s="220">
        <v>0</v>
      </c>
      <c r="R296" s="220">
        <v>0</v>
      </c>
    </row>
    <row r="297" spans="1:18" s="62" customFormat="1" ht="25.5" customHeight="1">
      <c r="A297" s="228"/>
      <c r="B297" s="229" t="s">
        <v>1428</v>
      </c>
      <c r="C297" s="1036"/>
      <c r="D297" s="1036"/>
      <c r="E297" s="1036"/>
      <c r="F297" s="1036"/>
      <c r="G297" s="1036"/>
      <c r="H297" s="1036"/>
      <c r="I297" s="1382"/>
      <c r="J297" s="1382"/>
      <c r="K297" s="1382"/>
      <c r="L297" s="229" t="s">
        <v>19</v>
      </c>
      <c r="M297" s="229" t="s">
        <v>35</v>
      </c>
      <c r="N297" s="220">
        <v>0</v>
      </c>
      <c r="O297" s="220">
        <v>0</v>
      </c>
      <c r="P297" s="220">
        <v>1.72</v>
      </c>
      <c r="Q297" s="220">
        <v>0</v>
      </c>
      <c r="R297" s="220">
        <v>0</v>
      </c>
    </row>
    <row r="298" spans="1:18" s="62" customFormat="1" ht="24" customHeight="1">
      <c r="A298" s="228"/>
      <c r="B298" s="229" t="s">
        <v>1429</v>
      </c>
      <c r="C298" s="1036"/>
      <c r="D298" s="1036"/>
      <c r="E298" s="1036"/>
      <c r="F298" s="1036"/>
      <c r="G298" s="1036"/>
      <c r="H298" s="1036"/>
      <c r="I298" s="1382"/>
      <c r="J298" s="1382"/>
      <c r="K298" s="1382"/>
      <c r="L298" s="229" t="s">
        <v>19</v>
      </c>
      <c r="M298" s="229" t="s">
        <v>35</v>
      </c>
      <c r="N298" s="220">
        <v>0</v>
      </c>
      <c r="O298" s="220">
        <v>0</v>
      </c>
      <c r="P298" s="220">
        <v>314.75299999999999</v>
      </c>
      <c r="Q298" s="220">
        <v>0</v>
      </c>
      <c r="R298" s="220">
        <v>0</v>
      </c>
    </row>
    <row r="299" spans="1:18" s="62" customFormat="1" ht="71.25" customHeight="1">
      <c r="A299" s="583" t="s">
        <v>1138</v>
      </c>
      <c r="B299" s="229"/>
      <c r="C299" s="1019"/>
      <c r="D299" s="255"/>
      <c r="E299" s="255"/>
      <c r="F299" s="1019"/>
      <c r="G299" s="1019"/>
      <c r="H299" s="1021"/>
      <c r="I299" s="1019" t="s">
        <v>1030</v>
      </c>
      <c r="J299" s="1019" t="s">
        <v>961</v>
      </c>
      <c r="K299" s="1019" t="s">
        <v>962</v>
      </c>
      <c r="L299" s="229"/>
      <c r="M299" s="229"/>
      <c r="N299" s="222"/>
      <c r="O299" s="222"/>
      <c r="P299" s="222"/>
      <c r="Q299" s="222"/>
      <c r="R299" s="222"/>
    </row>
    <row r="300" spans="1:18" s="63" customFormat="1" ht="61.5" customHeight="1">
      <c r="A300" s="228" t="s">
        <v>1139</v>
      </c>
      <c r="B300" s="229" t="s">
        <v>673</v>
      </c>
      <c r="C300" s="1210" t="s">
        <v>397</v>
      </c>
      <c r="D300" s="1036" t="s">
        <v>538</v>
      </c>
      <c r="E300" s="1036" t="s">
        <v>288</v>
      </c>
      <c r="F300" s="1210" t="s">
        <v>619</v>
      </c>
      <c r="G300" s="1019" t="s">
        <v>620</v>
      </c>
      <c r="H300" s="1021" t="s">
        <v>615</v>
      </c>
      <c r="I300" s="1019" t="s">
        <v>1514</v>
      </c>
      <c r="J300" s="1019" t="s">
        <v>54</v>
      </c>
      <c r="K300" s="1019" t="s">
        <v>1515</v>
      </c>
      <c r="L300" s="1038" t="s">
        <v>19</v>
      </c>
      <c r="M300" s="1038" t="s">
        <v>32</v>
      </c>
      <c r="N300" s="220">
        <v>291.35599999999999</v>
      </c>
      <c r="O300" s="220">
        <v>291.35599999999999</v>
      </c>
      <c r="P300" s="222">
        <v>288.23</v>
      </c>
      <c r="Q300" s="222">
        <v>0</v>
      </c>
      <c r="R300" s="222">
        <v>0</v>
      </c>
    </row>
    <row r="301" spans="1:18" s="63" customFormat="1" ht="41.25" customHeight="1">
      <c r="A301" s="289"/>
      <c r="B301" s="229"/>
      <c r="C301" s="1210"/>
      <c r="D301" s="1036"/>
      <c r="E301" s="1036"/>
      <c r="F301" s="1210"/>
      <c r="G301" s="1019"/>
      <c r="H301" s="1021"/>
      <c r="I301" s="1198"/>
      <c r="J301" s="1198"/>
      <c r="K301" s="1198"/>
      <c r="L301" s="1038" t="s">
        <v>19</v>
      </c>
      <c r="M301" s="1038" t="s">
        <v>32</v>
      </c>
      <c r="N301" s="220">
        <f>6.5+300.791+4.455</f>
        <v>311.74599999999998</v>
      </c>
      <c r="O301" s="220">
        <f>6.5+300.791</f>
        <v>307.291</v>
      </c>
      <c r="P301" s="220">
        <f>111.97+288.23</f>
        <v>400.20000000000005</v>
      </c>
      <c r="Q301" s="220">
        <v>596.79999999999995</v>
      </c>
      <c r="R301" s="220">
        <v>596.79999999999995</v>
      </c>
    </row>
    <row r="302" spans="1:18" s="63" customFormat="1" ht="41.25" customHeight="1">
      <c r="A302" s="289"/>
      <c r="B302" s="229" t="s">
        <v>674</v>
      </c>
      <c r="C302" s="1210"/>
      <c r="D302" s="1036"/>
      <c r="E302" s="1036"/>
      <c r="F302" s="1210"/>
      <c r="G302" s="1036"/>
      <c r="H302" s="1036"/>
      <c r="I302" s="1198"/>
      <c r="J302" s="1198"/>
      <c r="K302" s="1198"/>
      <c r="L302" s="1038" t="s">
        <v>19</v>
      </c>
      <c r="M302" s="1038" t="s">
        <v>32</v>
      </c>
      <c r="N302" s="220">
        <v>840.053</v>
      </c>
      <c r="O302" s="220">
        <v>840.053</v>
      </c>
      <c r="P302" s="220">
        <v>670.94</v>
      </c>
      <c r="Q302" s="220">
        <v>0</v>
      </c>
      <c r="R302" s="220">
        <v>0</v>
      </c>
    </row>
    <row r="303" spans="1:18" s="62" customFormat="1" ht="72" customHeight="1">
      <c r="A303" s="463" t="s">
        <v>1000</v>
      </c>
      <c r="B303" s="229" t="s">
        <v>1547</v>
      </c>
      <c r="C303" s="476" t="s">
        <v>318</v>
      </c>
      <c r="D303" s="476" t="s">
        <v>157</v>
      </c>
      <c r="E303" s="476" t="s">
        <v>158</v>
      </c>
      <c r="F303" s="476" t="s">
        <v>661</v>
      </c>
      <c r="G303" s="476" t="s">
        <v>331</v>
      </c>
      <c r="H303" s="476" t="s">
        <v>332</v>
      </c>
      <c r="I303" s="477" t="s">
        <v>159</v>
      </c>
      <c r="J303" s="478" t="s">
        <v>657</v>
      </c>
      <c r="K303" s="478" t="s">
        <v>160</v>
      </c>
      <c r="L303" s="1064" t="s">
        <v>19</v>
      </c>
      <c r="M303" s="1064" t="s">
        <v>32</v>
      </c>
      <c r="N303" s="465">
        <v>0</v>
      </c>
      <c r="O303" s="465">
        <v>0</v>
      </c>
      <c r="P303" s="465">
        <v>2736.1880000000001</v>
      </c>
      <c r="Q303" s="465">
        <v>0</v>
      </c>
      <c r="R303" s="465">
        <v>0</v>
      </c>
    </row>
    <row r="304" spans="1:18" s="63" customFormat="1" ht="48" customHeight="1">
      <c r="A304" s="506" t="s">
        <v>1001</v>
      </c>
      <c r="B304" s="507">
        <v>1068</v>
      </c>
      <c r="C304" s="506" t="s">
        <v>27</v>
      </c>
      <c r="D304" s="506" t="s">
        <v>27</v>
      </c>
      <c r="E304" s="506" t="s">
        <v>27</v>
      </c>
      <c r="F304" s="506" t="s">
        <v>27</v>
      </c>
      <c r="G304" s="506" t="s">
        <v>27</v>
      </c>
      <c r="H304" s="506" t="s">
        <v>27</v>
      </c>
      <c r="I304" s="506" t="s">
        <v>27</v>
      </c>
      <c r="J304" s="506" t="s">
        <v>27</v>
      </c>
      <c r="K304" s="506" t="s">
        <v>27</v>
      </c>
      <c r="L304" s="507" t="s">
        <v>34</v>
      </c>
      <c r="M304" s="507" t="s">
        <v>28</v>
      </c>
      <c r="N304" s="508">
        <f>SUM(N305:N320)</f>
        <v>56651.872999999992</v>
      </c>
      <c r="O304" s="508">
        <f>SUM(O305:O320)</f>
        <v>56468.513999999988</v>
      </c>
      <c r="P304" s="508">
        <f>SUM(P305:P320)</f>
        <v>62194.12</v>
      </c>
      <c r="Q304" s="508">
        <f>SUM(Q305:Q320)</f>
        <v>9386.15</v>
      </c>
      <c r="R304" s="509">
        <f>SUM(R305:R320)</f>
        <v>9494.5499999999993</v>
      </c>
    </row>
    <row r="305" spans="1:18" s="63" customFormat="1" ht="14.25" customHeight="1">
      <c r="A305" s="889" t="s">
        <v>1002</v>
      </c>
      <c r="B305" s="884"/>
      <c r="C305" s="1386" t="s">
        <v>43</v>
      </c>
      <c r="D305" s="1386" t="s">
        <v>531</v>
      </c>
      <c r="E305" s="1386" t="s">
        <v>44</v>
      </c>
      <c r="F305" s="1386" t="s">
        <v>536</v>
      </c>
      <c r="G305" s="1386" t="s">
        <v>72</v>
      </c>
      <c r="H305" s="1386" t="s">
        <v>535</v>
      </c>
      <c r="I305" s="1044"/>
      <c r="J305" s="1044"/>
      <c r="K305" s="880"/>
      <c r="L305" s="884"/>
      <c r="M305" s="884"/>
      <c r="N305" s="890"/>
      <c r="O305" s="890"/>
      <c r="P305" s="890"/>
      <c r="Q305" s="890"/>
      <c r="R305" s="891"/>
    </row>
    <row r="306" spans="1:18" s="63" customFormat="1" ht="48" customHeight="1">
      <c r="A306" s="583" t="s">
        <v>1140</v>
      </c>
      <c r="B306" s="435"/>
      <c r="C306" s="1210"/>
      <c r="D306" s="1210"/>
      <c r="E306" s="1210"/>
      <c r="F306" s="1210"/>
      <c r="G306" s="1210"/>
      <c r="H306" s="1210"/>
      <c r="I306" s="1027" t="s">
        <v>1027</v>
      </c>
      <c r="J306" s="1027" t="s">
        <v>54</v>
      </c>
      <c r="K306" s="1034" t="s">
        <v>731</v>
      </c>
      <c r="L306" s="435"/>
      <c r="M306" s="435"/>
      <c r="N306" s="220"/>
      <c r="O306" s="220"/>
      <c r="P306" s="220"/>
      <c r="Q306" s="220"/>
      <c r="R306" s="78"/>
    </row>
    <row r="307" spans="1:18" s="63" customFormat="1" ht="61.5" customHeight="1">
      <c r="A307" s="1227" t="s">
        <v>1141</v>
      </c>
      <c r="B307" s="435"/>
      <c r="C307" s="1210"/>
      <c r="D307" s="1210"/>
      <c r="E307" s="1210"/>
      <c r="F307" s="495"/>
      <c r="G307" s="1036"/>
      <c r="H307" s="1036"/>
      <c r="I307" s="1036" t="s">
        <v>106</v>
      </c>
      <c r="J307" s="1036" t="s">
        <v>54</v>
      </c>
      <c r="K307" s="1036" t="s">
        <v>93</v>
      </c>
      <c r="L307" s="435"/>
      <c r="M307" s="435"/>
      <c r="N307" s="220">
        <f>10217.257+624.408+9332.674</f>
        <v>20174.339</v>
      </c>
      <c r="O307" s="220">
        <f>10217.257+567.08+9332.674</f>
        <v>20117.010999999999</v>
      </c>
      <c r="P307" s="220">
        <f>2398.706+8569.5+9886.237</f>
        <v>20854.442999999999</v>
      </c>
      <c r="Q307" s="220">
        <f>8696.5+689.65</f>
        <v>9386.15</v>
      </c>
      <c r="R307" s="78">
        <f>8829.5+665.05</f>
        <v>9494.5499999999993</v>
      </c>
    </row>
    <row r="308" spans="1:18" s="63" customFormat="1" ht="61.5" customHeight="1">
      <c r="A308" s="1227"/>
      <c r="B308" s="435"/>
      <c r="C308" s="1036"/>
      <c r="D308" s="1036"/>
      <c r="E308" s="1036"/>
      <c r="F308" s="495"/>
      <c r="G308" s="1036"/>
      <c r="H308" s="1036"/>
      <c r="I308" s="291" t="s">
        <v>345</v>
      </c>
      <c r="J308" s="291" t="s">
        <v>54</v>
      </c>
      <c r="K308" s="441" t="s">
        <v>346</v>
      </c>
      <c r="L308" s="435"/>
      <c r="M308" s="435"/>
      <c r="N308" s="220"/>
      <c r="O308" s="220"/>
      <c r="P308" s="220"/>
      <c r="Q308" s="220"/>
      <c r="R308" s="78"/>
    </row>
    <row r="309" spans="1:18" s="63" customFormat="1" ht="59.25" customHeight="1">
      <c r="A309" s="1227"/>
      <c r="B309" s="435"/>
      <c r="C309" s="1036"/>
      <c r="D309" s="1036"/>
      <c r="E309" s="1036"/>
      <c r="F309" s="495"/>
      <c r="G309" s="1036"/>
      <c r="H309" s="1036"/>
      <c r="I309" s="1036" t="s">
        <v>107</v>
      </c>
      <c r="J309" s="1036" t="s">
        <v>54</v>
      </c>
      <c r="K309" s="1036" t="s">
        <v>93</v>
      </c>
      <c r="L309" s="435"/>
      <c r="M309" s="435"/>
      <c r="N309" s="220"/>
      <c r="O309" s="220"/>
      <c r="P309" s="220"/>
      <c r="Q309" s="220"/>
      <c r="R309" s="78"/>
    </row>
    <row r="310" spans="1:18" s="63" customFormat="1" ht="61.5" customHeight="1">
      <c r="A310" s="1227"/>
      <c r="B310" s="435"/>
      <c r="C310" s="1036"/>
      <c r="D310" s="1036"/>
      <c r="E310" s="1036"/>
      <c r="F310" s="495"/>
      <c r="G310" s="1036"/>
      <c r="H310" s="1036"/>
      <c r="I310" s="1036" t="s">
        <v>108</v>
      </c>
      <c r="J310" s="1036" t="s">
        <v>54</v>
      </c>
      <c r="K310" s="1036" t="s">
        <v>93</v>
      </c>
      <c r="L310" s="435"/>
      <c r="M310" s="435"/>
      <c r="N310" s="220"/>
      <c r="O310" s="220"/>
      <c r="P310" s="220"/>
      <c r="Q310" s="220"/>
      <c r="R310" s="78"/>
    </row>
    <row r="311" spans="1:18" s="63" customFormat="1" ht="61.5" customHeight="1">
      <c r="A311" s="1227"/>
      <c r="B311" s="435"/>
      <c r="C311" s="1036"/>
      <c r="D311" s="1036"/>
      <c r="E311" s="1036"/>
      <c r="F311" s="495"/>
      <c r="G311" s="1036"/>
      <c r="H311" s="1036"/>
      <c r="I311" s="1036" t="s">
        <v>726</v>
      </c>
      <c r="J311" s="1036" t="s">
        <v>54</v>
      </c>
      <c r="K311" s="1036" t="s">
        <v>377</v>
      </c>
      <c r="L311" s="435"/>
      <c r="M311" s="435"/>
      <c r="N311" s="220"/>
      <c r="O311" s="220"/>
      <c r="P311" s="220"/>
      <c r="Q311" s="220"/>
      <c r="R311" s="78"/>
    </row>
    <row r="312" spans="1:18" s="63" customFormat="1" ht="38.25" customHeight="1">
      <c r="A312" s="1227"/>
      <c r="B312" s="435"/>
      <c r="C312" s="1036"/>
      <c r="D312" s="1036"/>
      <c r="E312" s="1036"/>
      <c r="F312" s="495"/>
      <c r="G312" s="1036"/>
      <c r="H312" s="1036"/>
      <c r="I312" s="1036" t="s">
        <v>343</v>
      </c>
      <c r="J312" s="1036" t="s">
        <v>54</v>
      </c>
      <c r="K312" s="1036" t="s">
        <v>57</v>
      </c>
      <c r="L312" s="435"/>
      <c r="M312" s="435"/>
      <c r="N312" s="220"/>
      <c r="O312" s="220"/>
      <c r="P312" s="220"/>
      <c r="Q312" s="220"/>
      <c r="R312" s="78"/>
    </row>
    <row r="313" spans="1:18" s="62" customFormat="1" ht="168.75" customHeight="1">
      <c r="A313" s="1227"/>
      <c r="B313" s="229" t="s">
        <v>105</v>
      </c>
      <c r="C313" s="1036" t="s">
        <v>532</v>
      </c>
      <c r="D313" s="1036" t="s">
        <v>533</v>
      </c>
      <c r="E313" s="894">
        <v>34716</v>
      </c>
      <c r="F313" s="895" t="s">
        <v>588</v>
      </c>
      <c r="G313" s="895" t="s">
        <v>746</v>
      </c>
      <c r="H313" s="895" t="s">
        <v>615</v>
      </c>
      <c r="I313" s="1019" t="s">
        <v>1407</v>
      </c>
      <c r="J313" s="1019" t="s">
        <v>54</v>
      </c>
      <c r="K313" s="1019" t="s">
        <v>1406</v>
      </c>
      <c r="L313" s="1038"/>
      <c r="M313" s="1038"/>
      <c r="N313" s="220">
        <v>36158.5</v>
      </c>
      <c r="O313" s="220">
        <v>36032.468999999997</v>
      </c>
      <c r="P313" s="220">
        <v>40952.5</v>
      </c>
      <c r="Q313" s="220">
        <v>0</v>
      </c>
      <c r="R313" s="78">
        <v>0</v>
      </c>
    </row>
    <row r="314" spans="1:18" s="63" customFormat="1" ht="60.75" customHeight="1">
      <c r="A314" s="228"/>
      <c r="B314" s="435"/>
      <c r="C314" s="1036"/>
      <c r="D314" s="1036"/>
      <c r="E314" s="894"/>
      <c r="F314" s="495"/>
      <c r="G314" s="1036"/>
      <c r="H314" s="1036"/>
      <c r="I314" s="1036" t="s">
        <v>364</v>
      </c>
      <c r="J314" s="1036" t="s">
        <v>54</v>
      </c>
      <c r="K314" s="1036" t="s">
        <v>93</v>
      </c>
      <c r="L314" s="435"/>
      <c r="M314" s="435"/>
      <c r="N314" s="220"/>
      <c r="O314" s="220"/>
      <c r="P314" s="220"/>
      <c r="Q314" s="220"/>
      <c r="R314" s="78"/>
    </row>
    <row r="315" spans="1:18" s="62" customFormat="1" ht="52.5" customHeight="1">
      <c r="A315" s="22" t="s">
        <v>1142</v>
      </c>
      <c r="B315" s="297" t="s">
        <v>712</v>
      </c>
      <c r="C315" s="30"/>
      <c r="D315" s="30"/>
      <c r="E315" s="30"/>
      <c r="F315" s="1119"/>
      <c r="G315" s="1119"/>
      <c r="H315" s="1119"/>
      <c r="I315" s="1385" t="s">
        <v>1475</v>
      </c>
      <c r="J315" s="1385" t="s">
        <v>54</v>
      </c>
      <c r="K315" s="1119" t="s">
        <v>1476</v>
      </c>
      <c r="L315" s="297"/>
      <c r="M315" s="297"/>
      <c r="N315" s="24">
        <v>263.68099999999998</v>
      </c>
      <c r="O315" s="214">
        <v>263.68099999999998</v>
      </c>
      <c r="P315" s="24">
        <v>234.79599999999999</v>
      </c>
      <c r="Q315" s="24">
        <v>0</v>
      </c>
      <c r="R315" s="24">
        <v>0</v>
      </c>
    </row>
    <row r="316" spans="1:18" s="62" customFormat="1" ht="52.5" customHeight="1">
      <c r="A316" s="431"/>
      <c r="B316" s="297"/>
      <c r="C316" s="30"/>
      <c r="D316" s="30"/>
      <c r="E316" s="30"/>
      <c r="F316" s="1119"/>
      <c r="G316" s="1119"/>
      <c r="H316" s="1119"/>
      <c r="I316" s="1385"/>
      <c r="J316" s="1385"/>
      <c r="K316" s="1119"/>
      <c r="L316" s="297"/>
      <c r="M316" s="297"/>
      <c r="N316" s="24">
        <v>15.952</v>
      </c>
      <c r="O316" s="214">
        <v>15.952</v>
      </c>
      <c r="P316" s="24">
        <v>14.204000000000001</v>
      </c>
      <c r="Q316" s="24">
        <v>0</v>
      </c>
      <c r="R316" s="24">
        <v>0</v>
      </c>
    </row>
    <row r="317" spans="1:18" s="62" customFormat="1" ht="52.5" customHeight="1">
      <c r="A317" s="431"/>
      <c r="B317" s="297" t="s">
        <v>713</v>
      </c>
      <c r="C317" s="30"/>
      <c r="D317" s="30"/>
      <c r="E317" s="30"/>
      <c r="F317" s="1119"/>
      <c r="G317" s="1119"/>
      <c r="H317" s="1119"/>
      <c r="I317" s="1186"/>
      <c r="J317" s="1186"/>
      <c r="K317" s="1018"/>
      <c r="L317" s="297"/>
      <c r="M317" s="297"/>
      <c r="N317" s="24">
        <v>39.401000000000003</v>
      </c>
      <c r="O317" s="214">
        <v>39.401000000000003</v>
      </c>
      <c r="P317" s="24">
        <v>35.084000000000003</v>
      </c>
      <c r="Q317" s="24">
        <v>0</v>
      </c>
      <c r="R317" s="24">
        <v>0</v>
      </c>
    </row>
    <row r="318" spans="1:18" s="62" customFormat="1" ht="32.25" customHeight="1">
      <c r="A318" s="228" t="s">
        <v>1510</v>
      </c>
      <c r="B318" s="229"/>
      <c r="C318" s="228"/>
      <c r="D318" s="228"/>
      <c r="E318" s="228"/>
      <c r="F318" s="458"/>
      <c r="G318" s="1038"/>
      <c r="H318" s="1036"/>
      <c r="I318" s="1210" t="s">
        <v>1501</v>
      </c>
      <c r="J318" s="1210" t="s">
        <v>54</v>
      </c>
      <c r="K318" s="1210" t="s">
        <v>1502</v>
      </c>
      <c r="L318" s="229"/>
      <c r="M318" s="229"/>
      <c r="N318" s="220"/>
      <c r="O318" s="220"/>
      <c r="P318" s="220"/>
      <c r="Q318" s="220"/>
      <c r="R318" s="397"/>
    </row>
    <row r="319" spans="1:18" s="62" customFormat="1" ht="32.25" customHeight="1">
      <c r="A319" s="1227"/>
      <c r="B319" s="229" t="s">
        <v>680</v>
      </c>
      <c r="C319" s="228"/>
      <c r="D319" s="228"/>
      <c r="E319" s="228"/>
      <c r="F319" s="458"/>
      <c r="G319" s="1038"/>
      <c r="H319" s="1036"/>
      <c r="I319" s="1210"/>
      <c r="J319" s="1210"/>
      <c r="K319" s="1210"/>
      <c r="L319" s="229"/>
      <c r="M319" s="229"/>
      <c r="N319" s="220">
        <v>0</v>
      </c>
      <c r="O319" s="220">
        <v>0</v>
      </c>
      <c r="P319" s="220">
        <v>100</v>
      </c>
      <c r="Q319" s="220">
        <v>0</v>
      </c>
      <c r="R319" s="397">
        <v>0</v>
      </c>
    </row>
    <row r="320" spans="1:18" s="62" customFormat="1" ht="32.25" customHeight="1">
      <c r="A320" s="1227"/>
      <c r="B320" s="229" t="s">
        <v>869</v>
      </c>
      <c r="C320" s="228"/>
      <c r="D320" s="228"/>
      <c r="E320" s="228"/>
      <c r="F320" s="458"/>
      <c r="G320" s="1038"/>
      <c r="H320" s="1036"/>
      <c r="I320" s="1210"/>
      <c r="J320" s="1210"/>
      <c r="K320" s="1210"/>
      <c r="L320" s="229"/>
      <c r="M320" s="229"/>
      <c r="N320" s="220">
        <v>0</v>
      </c>
      <c r="O320" s="220">
        <v>0</v>
      </c>
      <c r="P320" s="220">
        <v>3.093</v>
      </c>
      <c r="Q320" s="220">
        <v>0</v>
      </c>
      <c r="R320" s="397">
        <v>0</v>
      </c>
    </row>
    <row r="321" spans="1:18" s="63" customFormat="1" ht="73.5" customHeight="1">
      <c r="A321" s="385" t="s">
        <v>677</v>
      </c>
      <c r="B321" s="386" t="s">
        <v>678</v>
      </c>
      <c r="C321" s="385"/>
      <c r="D321" s="385"/>
      <c r="E321" s="385"/>
      <c r="F321" s="387"/>
      <c r="G321" s="387"/>
      <c r="H321" s="387"/>
      <c r="I321" s="388"/>
      <c r="J321" s="388"/>
      <c r="K321" s="388"/>
      <c r="L321" s="386" t="s">
        <v>30</v>
      </c>
      <c r="M321" s="386" t="s">
        <v>35</v>
      </c>
      <c r="N321" s="389">
        <f>SUM(N322:N323)</f>
        <v>7</v>
      </c>
      <c r="O321" s="389">
        <f>SUM(O322:O323)</f>
        <v>7</v>
      </c>
      <c r="P321" s="389">
        <f>SUM(P322:P323)</f>
        <v>977.86199999999997</v>
      </c>
      <c r="Q321" s="389">
        <f>SUM(Q322:Q323)</f>
        <v>0</v>
      </c>
      <c r="R321" s="389">
        <f>SUM(R322:R323)</f>
        <v>0</v>
      </c>
    </row>
    <row r="322" spans="1:18" s="63" customFormat="1" ht="12" customHeight="1">
      <c r="A322" s="639" t="s">
        <v>1005</v>
      </c>
      <c r="B322" s="419"/>
      <c r="C322" s="421"/>
      <c r="D322" s="421"/>
      <c r="E322" s="421"/>
      <c r="F322" s="498"/>
      <c r="G322" s="498"/>
      <c r="H322" s="498"/>
      <c r="I322" s="1098"/>
      <c r="J322" s="1098"/>
      <c r="K322" s="1098"/>
      <c r="L322" s="648"/>
      <c r="M322" s="648"/>
      <c r="N322" s="418"/>
      <c r="O322" s="418"/>
      <c r="P322" s="418"/>
      <c r="Q322" s="418"/>
      <c r="R322" s="418"/>
    </row>
    <row r="323" spans="1:18" s="63" customFormat="1" ht="46.5" customHeight="1">
      <c r="A323" s="326" t="s">
        <v>1430</v>
      </c>
      <c r="B323" s="236"/>
      <c r="C323" s="237"/>
      <c r="D323" s="237"/>
      <c r="E323" s="237"/>
      <c r="F323" s="235"/>
      <c r="G323" s="235"/>
      <c r="H323" s="235"/>
      <c r="I323" s="1018" t="s">
        <v>1393</v>
      </c>
      <c r="J323" s="1018" t="s">
        <v>54</v>
      </c>
      <c r="K323" s="1018" t="s">
        <v>1391</v>
      </c>
      <c r="L323" s="240"/>
      <c r="M323" s="240"/>
      <c r="N323" s="214">
        <v>7</v>
      </c>
      <c r="O323" s="214">
        <v>7</v>
      </c>
      <c r="P323" s="214">
        <v>977.86199999999997</v>
      </c>
      <c r="Q323" s="214">
        <v>0</v>
      </c>
      <c r="R323" s="214">
        <v>0</v>
      </c>
    </row>
    <row r="324" spans="1:18" s="62" customFormat="1" ht="46.5" hidden="1" customHeight="1">
      <c r="A324" s="186" t="s">
        <v>695</v>
      </c>
      <c r="B324" s="189" t="s">
        <v>788</v>
      </c>
      <c r="C324" s="190"/>
      <c r="D324" s="190"/>
      <c r="E324" s="190"/>
      <c r="F324" s="191"/>
      <c r="G324" s="191"/>
      <c r="H324" s="191"/>
      <c r="I324" s="192" t="s">
        <v>70</v>
      </c>
      <c r="J324" s="193" t="s">
        <v>54</v>
      </c>
      <c r="K324" s="194" t="s">
        <v>57</v>
      </c>
      <c r="L324" s="189" t="s">
        <v>32</v>
      </c>
      <c r="M324" s="189" t="s">
        <v>30</v>
      </c>
      <c r="N324" s="241"/>
      <c r="O324" s="564"/>
      <c r="P324" s="273"/>
      <c r="Q324" s="273"/>
      <c r="R324" s="273"/>
    </row>
    <row r="325" spans="1:18" s="63" customFormat="1" ht="96" hidden="1">
      <c r="A325" s="16" t="s">
        <v>579</v>
      </c>
      <c r="B325" s="800" t="s">
        <v>580</v>
      </c>
      <c r="C325" s="166"/>
      <c r="D325" s="166"/>
      <c r="E325" s="166"/>
      <c r="F325" s="167"/>
      <c r="G325" s="167"/>
      <c r="H325" s="167"/>
      <c r="I325" s="1112" t="s">
        <v>721</v>
      </c>
      <c r="J325" s="1112" t="s">
        <v>54</v>
      </c>
      <c r="K325" s="1112" t="s">
        <v>636</v>
      </c>
      <c r="L325" s="800" t="s">
        <v>32</v>
      </c>
      <c r="M325" s="800" t="s">
        <v>30</v>
      </c>
      <c r="N325" s="17">
        <v>0</v>
      </c>
      <c r="O325" s="565"/>
      <c r="P325" s="76">
        <v>0</v>
      </c>
      <c r="Q325" s="76">
        <v>0</v>
      </c>
      <c r="R325" s="76">
        <v>0</v>
      </c>
    </row>
    <row r="326" spans="1:18" s="63" customFormat="1" ht="60" hidden="1">
      <c r="A326" s="48"/>
      <c r="B326" s="373"/>
      <c r="C326" s="154"/>
      <c r="D326" s="154"/>
      <c r="E326" s="154"/>
      <c r="F326" s="155"/>
      <c r="G326" s="155"/>
      <c r="H326" s="155"/>
      <c r="I326" s="1113" t="s">
        <v>637</v>
      </c>
      <c r="J326" s="1113" t="s">
        <v>54</v>
      </c>
      <c r="K326" s="1113" t="s">
        <v>638</v>
      </c>
      <c r="L326" s="373"/>
      <c r="M326" s="373"/>
      <c r="N326" s="180"/>
      <c r="O326" s="564"/>
      <c r="P326" s="81"/>
      <c r="Q326" s="81"/>
      <c r="R326" s="81"/>
    </row>
    <row r="327" spans="1:18" s="63" customFormat="1" ht="58.5" customHeight="1">
      <c r="A327" s="16" t="s">
        <v>406</v>
      </c>
      <c r="B327" s="802" t="s">
        <v>38</v>
      </c>
      <c r="C327" s="802" t="s">
        <v>25</v>
      </c>
      <c r="D327" s="802" t="s">
        <v>25</v>
      </c>
      <c r="E327" s="802" t="s">
        <v>25</v>
      </c>
      <c r="F327" s="802" t="s">
        <v>25</v>
      </c>
      <c r="G327" s="802" t="s">
        <v>25</v>
      </c>
      <c r="H327" s="802" t="s">
        <v>25</v>
      </c>
      <c r="I327" s="802" t="s">
        <v>25</v>
      </c>
      <c r="J327" s="802" t="s">
        <v>25</v>
      </c>
      <c r="K327" s="802" t="s">
        <v>25</v>
      </c>
      <c r="L327" s="802"/>
      <c r="M327" s="169"/>
      <c r="N327" s="74">
        <f>N328+N332+N337+N338+N336</f>
        <v>68356.5</v>
      </c>
      <c r="O327" s="74">
        <f>O328+O332+O337+O338+O336</f>
        <v>68355.5</v>
      </c>
      <c r="P327" s="74">
        <f>P328+P332+P337+P338+P336</f>
        <v>70867.3</v>
      </c>
      <c r="Q327" s="74">
        <f>Q328+Q332+Q337+Q338+Q336</f>
        <v>0</v>
      </c>
      <c r="R327" s="74">
        <f>R328+R332+R337+R338+R336</f>
        <v>0</v>
      </c>
    </row>
    <row r="328" spans="1:18" s="63" customFormat="1" ht="48" customHeight="1">
      <c r="A328" s="906" t="s">
        <v>1431</v>
      </c>
      <c r="B328" s="907">
        <v>1118</v>
      </c>
      <c r="C328" s="908"/>
      <c r="D328" s="908"/>
      <c r="E328" s="908"/>
      <c r="F328" s="908"/>
      <c r="G328" s="908"/>
      <c r="H328" s="908"/>
      <c r="I328" s="908"/>
      <c r="J328" s="908"/>
      <c r="K328" s="908"/>
      <c r="L328" s="914" t="s">
        <v>34</v>
      </c>
      <c r="M328" s="914" t="s">
        <v>28</v>
      </c>
      <c r="N328" s="909">
        <f>SUM(N329:N331)</f>
        <v>16131.5</v>
      </c>
      <c r="O328" s="909">
        <f t="shared" ref="O328:R328" si="17">SUM(O329:O331)</f>
        <v>16131.5</v>
      </c>
      <c r="P328" s="909">
        <f t="shared" si="17"/>
        <v>16218.2</v>
      </c>
      <c r="Q328" s="909">
        <f t="shared" si="17"/>
        <v>0</v>
      </c>
      <c r="R328" s="909">
        <f t="shared" si="17"/>
        <v>0</v>
      </c>
    </row>
    <row r="329" spans="1:18" s="63" customFormat="1" ht="48">
      <c r="A329" s="889" t="s">
        <v>1432</v>
      </c>
      <c r="B329" s="884"/>
      <c r="C329" s="897"/>
      <c r="D329" s="897"/>
      <c r="E329" s="897"/>
      <c r="F329" s="897"/>
      <c r="G329" s="897"/>
      <c r="H329" s="897"/>
      <c r="I329" s="1044" t="s">
        <v>1027</v>
      </c>
      <c r="J329" s="1044" t="s">
        <v>54</v>
      </c>
      <c r="K329" s="880" t="s">
        <v>731</v>
      </c>
      <c r="L329" s="899"/>
      <c r="M329" s="899"/>
      <c r="N329" s="885"/>
      <c r="O329" s="910"/>
      <c r="P329" s="885"/>
      <c r="Q329" s="885"/>
      <c r="R329" s="900"/>
    </row>
    <row r="330" spans="1:18" s="63" customFormat="1" ht="72.75" customHeight="1">
      <c r="A330" s="583" t="s">
        <v>1433</v>
      </c>
      <c r="B330" s="435"/>
      <c r="C330" s="1038" t="s">
        <v>43</v>
      </c>
      <c r="D330" s="1038" t="s">
        <v>411</v>
      </c>
      <c r="E330" s="1038" t="s">
        <v>44</v>
      </c>
      <c r="F330" s="1038" t="s">
        <v>536</v>
      </c>
      <c r="G330" s="1038" t="s">
        <v>534</v>
      </c>
      <c r="H330" s="1038" t="s">
        <v>535</v>
      </c>
      <c r="I330" s="1038" t="s">
        <v>598</v>
      </c>
      <c r="J330" s="1038" t="s">
        <v>54</v>
      </c>
      <c r="K330" s="1038" t="s">
        <v>93</v>
      </c>
      <c r="L330" s="904"/>
      <c r="M330" s="904"/>
      <c r="N330" s="220">
        <v>16131.5</v>
      </c>
      <c r="O330" s="911">
        <v>16131.5</v>
      </c>
      <c r="P330" s="220">
        <v>16218.2</v>
      </c>
      <c r="Q330" s="220">
        <v>0</v>
      </c>
      <c r="R330" s="78">
        <v>0</v>
      </c>
    </row>
    <row r="331" spans="1:18" s="63" customFormat="1" ht="85.5" customHeight="1">
      <c r="A331" s="896" t="s">
        <v>1434</v>
      </c>
      <c r="B331" s="898"/>
      <c r="C331" s="892"/>
      <c r="D331" s="892"/>
      <c r="E331" s="892"/>
      <c r="F331" s="892"/>
      <c r="G331" s="892"/>
      <c r="H331" s="892"/>
      <c r="I331" s="892" t="s">
        <v>108</v>
      </c>
      <c r="J331" s="892" t="s">
        <v>54</v>
      </c>
      <c r="K331" s="892" t="s">
        <v>747</v>
      </c>
      <c r="L331" s="901"/>
      <c r="M331" s="901"/>
      <c r="N331" s="902"/>
      <c r="O331" s="905"/>
      <c r="P331" s="902"/>
      <c r="Q331" s="902"/>
      <c r="R331" s="903"/>
    </row>
    <row r="332" spans="1:18" s="63" customFormat="1" ht="48.75" customHeight="1">
      <c r="A332" s="16" t="s">
        <v>1006</v>
      </c>
      <c r="B332" s="802">
        <v>1119</v>
      </c>
      <c r="C332" s="1028"/>
      <c r="D332" s="1028"/>
      <c r="E332" s="1028"/>
      <c r="F332" s="1028"/>
      <c r="G332" s="1028"/>
      <c r="H332" s="1028"/>
      <c r="I332" s="1028"/>
      <c r="J332" s="1028"/>
      <c r="K332" s="1028"/>
      <c r="L332" s="800" t="s">
        <v>34</v>
      </c>
      <c r="M332" s="800" t="s">
        <v>28</v>
      </c>
      <c r="N332" s="179">
        <f>SUM(N333:N335)</f>
        <v>52224</v>
      </c>
      <c r="O332" s="179">
        <f t="shared" ref="O332:R332" si="18">SUM(O333:O335)</f>
        <v>52224</v>
      </c>
      <c r="P332" s="179">
        <f t="shared" si="18"/>
        <v>54649.1</v>
      </c>
      <c r="Q332" s="179">
        <f t="shared" si="18"/>
        <v>0</v>
      </c>
      <c r="R332" s="909">
        <f t="shared" si="18"/>
        <v>0</v>
      </c>
    </row>
    <row r="333" spans="1:18" s="63" customFormat="1" ht="48">
      <c r="A333" s="889" t="s">
        <v>1432</v>
      </c>
      <c r="B333" s="884"/>
      <c r="C333" s="897"/>
      <c r="D333" s="897"/>
      <c r="E333" s="897"/>
      <c r="F333" s="897"/>
      <c r="G333" s="897"/>
      <c r="H333" s="897"/>
      <c r="I333" s="1044" t="s">
        <v>1027</v>
      </c>
      <c r="J333" s="1044" t="s">
        <v>54</v>
      </c>
      <c r="K333" s="880" t="s">
        <v>731</v>
      </c>
      <c r="L333" s="899"/>
      <c r="M333" s="899"/>
      <c r="N333" s="885"/>
      <c r="O333" s="910"/>
      <c r="P333" s="885"/>
      <c r="Q333" s="885"/>
      <c r="R333" s="900"/>
    </row>
    <row r="334" spans="1:18" s="63" customFormat="1" ht="61.5" customHeight="1">
      <c r="A334" s="583" t="s">
        <v>1433</v>
      </c>
      <c r="B334" s="435"/>
      <c r="C334" s="1038" t="s">
        <v>43</v>
      </c>
      <c r="D334" s="1038" t="s">
        <v>537</v>
      </c>
      <c r="E334" s="1038" t="s">
        <v>44</v>
      </c>
      <c r="F334" s="1038"/>
      <c r="G334" s="1038"/>
      <c r="H334" s="1038"/>
      <c r="I334" s="1038" t="s">
        <v>599</v>
      </c>
      <c r="J334" s="1038" t="s">
        <v>54</v>
      </c>
      <c r="K334" s="1038" t="s">
        <v>410</v>
      </c>
      <c r="L334" s="904"/>
      <c r="M334" s="904"/>
      <c r="N334" s="220">
        <f>24416.1+27807.9</f>
        <v>52224</v>
      </c>
      <c r="O334" s="911">
        <f>24416.1+27807.9</f>
        <v>52224</v>
      </c>
      <c r="P334" s="220">
        <f>30204.8+24444.3</f>
        <v>54649.1</v>
      </c>
      <c r="Q334" s="220">
        <v>0</v>
      </c>
      <c r="R334" s="78">
        <v>0</v>
      </c>
    </row>
    <row r="335" spans="1:18" s="63" customFormat="1" ht="60" customHeight="1">
      <c r="A335" s="896" t="s">
        <v>1435</v>
      </c>
      <c r="B335" s="898"/>
      <c r="C335" s="892"/>
      <c r="D335" s="892"/>
      <c r="E335" s="892"/>
      <c r="F335" s="892"/>
      <c r="G335" s="892"/>
      <c r="H335" s="892"/>
      <c r="I335" s="892" t="s">
        <v>117</v>
      </c>
      <c r="J335" s="892" t="s">
        <v>54</v>
      </c>
      <c r="K335" s="892" t="s">
        <v>410</v>
      </c>
      <c r="L335" s="901"/>
      <c r="M335" s="901"/>
      <c r="N335" s="893"/>
      <c r="O335" s="912"/>
      <c r="P335" s="893"/>
      <c r="Q335" s="893"/>
      <c r="R335" s="913"/>
    </row>
    <row r="336" spans="1:18" s="63" customFormat="1" ht="36">
      <c r="A336" s="18" t="s">
        <v>1007</v>
      </c>
      <c r="B336" s="19">
        <v>1146</v>
      </c>
      <c r="C336" s="1086"/>
      <c r="D336" s="1086"/>
      <c r="E336" s="1086"/>
      <c r="F336" s="1086"/>
      <c r="G336" s="1086"/>
      <c r="H336" s="1086"/>
      <c r="I336" s="1086"/>
      <c r="J336" s="1086"/>
      <c r="K336" s="1086"/>
      <c r="L336" s="800" t="s">
        <v>28</v>
      </c>
      <c r="M336" s="801" t="s">
        <v>22</v>
      </c>
      <c r="N336" s="105">
        <v>1</v>
      </c>
      <c r="O336" s="845">
        <v>0</v>
      </c>
      <c r="P336" s="198">
        <v>0</v>
      </c>
      <c r="Q336" s="198">
        <v>0</v>
      </c>
      <c r="R336" s="198">
        <v>0</v>
      </c>
    </row>
    <row r="337" spans="1:18" s="63" customFormat="1" ht="48" hidden="1">
      <c r="A337" s="16" t="s">
        <v>447</v>
      </c>
      <c r="B337" s="802">
        <v>1148</v>
      </c>
      <c r="C337" s="1199" t="s">
        <v>43</v>
      </c>
      <c r="D337" s="1199" t="s">
        <v>412</v>
      </c>
      <c r="E337" s="1199" t="s">
        <v>44</v>
      </c>
      <c r="F337" s="1199"/>
      <c r="G337" s="1199"/>
      <c r="H337" s="1199"/>
      <c r="I337" s="1199" t="s">
        <v>106</v>
      </c>
      <c r="J337" s="1199" t="s">
        <v>54</v>
      </c>
      <c r="K337" s="1199" t="s">
        <v>93</v>
      </c>
      <c r="L337" s="800" t="s">
        <v>28</v>
      </c>
      <c r="M337" s="801" t="s">
        <v>29</v>
      </c>
      <c r="N337" s="74"/>
      <c r="O337" s="549"/>
      <c r="P337" s="74">
        <v>0</v>
      </c>
      <c r="Q337" s="74">
        <v>0</v>
      </c>
      <c r="R337" s="74">
        <v>0</v>
      </c>
    </row>
    <row r="338" spans="1:18" s="63" customFormat="1" ht="48" hidden="1">
      <c r="A338" s="16" t="s">
        <v>448</v>
      </c>
      <c r="B338" s="802">
        <v>1149</v>
      </c>
      <c r="C338" s="1250"/>
      <c r="D338" s="1250"/>
      <c r="E338" s="1250"/>
      <c r="F338" s="1250"/>
      <c r="G338" s="1250"/>
      <c r="H338" s="1250"/>
      <c r="I338" s="1250"/>
      <c r="J338" s="1250"/>
      <c r="K338" s="1250"/>
      <c r="L338" s="800" t="s">
        <v>28</v>
      </c>
      <c r="M338" s="801" t="s">
        <v>29</v>
      </c>
      <c r="N338" s="74"/>
      <c r="O338" s="549"/>
      <c r="P338" s="74">
        <v>0</v>
      </c>
      <c r="Q338" s="74">
        <v>0</v>
      </c>
      <c r="R338" s="74">
        <v>0</v>
      </c>
    </row>
    <row r="339" spans="1:18" s="63" customFormat="1" ht="131.25" customHeight="1">
      <c r="A339" s="16" t="s">
        <v>696</v>
      </c>
      <c r="B339" s="802">
        <v>1200</v>
      </c>
      <c r="C339" s="802" t="s">
        <v>25</v>
      </c>
      <c r="D339" s="802" t="s">
        <v>25</v>
      </c>
      <c r="E339" s="802" t="s">
        <v>25</v>
      </c>
      <c r="F339" s="802" t="s">
        <v>25</v>
      </c>
      <c r="G339" s="802" t="s">
        <v>25</v>
      </c>
      <c r="H339" s="802" t="s">
        <v>25</v>
      </c>
      <c r="I339" s="802" t="s">
        <v>25</v>
      </c>
      <c r="J339" s="802" t="s">
        <v>25</v>
      </c>
      <c r="K339" s="802" t="s">
        <v>25</v>
      </c>
      <c r="L339" s="802"/>
      <c r="M339" s="169"/>
      <c r="N339" s="74">
        <f>N340+N360+N375+N376+N377+N378+N389+N390+N391+N393+N401+N406+N416+N431+N421+N426</f>
        <v>180788.85</v>
      </c>
      <c r="O339" s="74">
        <f>O340+O360+O375+O376+O377+O378+O389+O390+O391+O393+O401+O406+O416+O431+O421+O426</f>
        <v>177166.11399999994</v>
      </c>
      <c r="P339" s="74">
        <f>P340+P360+P375+P376+P377+P378+P389+P390+P391+P393+P401+P406+P416+P431+P421+P426</f>
        <v>181346.57799999998</v>
      </c>
      <c r="Q339" s="74">
        <f>Q340+Q360+Q375+Q376+Q377+Q378+Q389+Q390+Q391+Q393+Q401+Q406+Q416+Q431+Q421+Q426</f>
        <v>169053.93</v>
      </c>
      <c r="R339" s="74">
        <f>R340+R360+R375+R376+R377+R378+R389+R390+R391+R393+R401+R406+R416+R431+R421+R426</f>
        <v>169499.07000000004</v>
      </c>
    </row>
    <row r="340" spans="1:18" s="63" customFormat="1" ht="47.25" customHeight="1">
      <c r="A340" s="486" t="s">
        <v>449</v>
      </c>
      <c r="B340" s="487">
        <v>1201</v>
      </c>
      <c r="C340" s="487"/>
      <c r="D340" s="487"/>
      <c r="E340" s="487"/>
      <c r="F340" s="487"/>
      <c r="G340" s="487"/>
      <c r="H340" s="487"/>
      <c r="I340" s="487"/>
      <c r="J340" s="487"/>
      <c r="K340" s="487"/>
      <c r="L340" s="487"/>
      <c r="M340" s="487"/>
      <c r="N340" s="490">
        <f t="shared" ref="N340:R340" si="19">SUM(N341:N359)</f>
        <v>48037.820000000007</v>
      </c>
      <c r="O340" s="490">
        <f t="shared" si="19"/>
        <v>46277.213999999993</v>
      </c>
      <c r="P340" s="490">
        <f t="shared" si="19"/>
        <v>47162.642</v>
      </c>
      <c r="Q340" s="490">
        <f t="shared" si="19"/>
        <v>41083.247000000003</v>
      </c>
      <c r="R340" s="490">
        <f t="shared" si="19"/>
        <v>41169.659999999996</v>
      </c>
    </row>
    <row r="341" spans="1:18" s="62" customFormat="1" ht="13.5" customHeight="1">
      <c r="A341" s="636" t="s">
        <v>1003</v>
      </c>
      <c r="B341" s="492"/>
      <c r="C341" s="532"/>
      <c r="D341" s="532"/>
      <c r="E341" s="532"/>
      <c r="F341" s="532"/>
      <c r="G341" s="532"/>
      <c r="H341" s="532"/>
      <c r="I341" s="1043"/>
      <c r="J341" s="620"/>
      <c r="K341" s="637"/>
      <c r="L341" s="1063"/>
      <c r="M341" s="1063"/>
      <c r="N341" s="624"/>
      <c r="O341" s="624"/>
      <c r="P341" s="624"/>
      <c r="Q341" s="624"/>
      <c r="R341" s="624"/>
    </row>
    <row r="342" spans="1:18" s="62" customFormat="1" ht="24.75" customHeight="1">
      <c r="A342" s="583" t="s">
        <v>1143</v>
      </c>
      <c r="B342" s="1038"/>
      <c r="C342" s="1019"/>
      <c r="D342" s="1019"/>
      <c r="E342" s="1019"/>
      <c r="F342" s="1019"/>
      <c r="G342" s="1019"/>
      <c r="H342" s="1019"/>
      <c r="I342" s="1189" t="s">
        <v>1520</v>
      </c>
      <c r="J342" s="1198" t="s">
        <v>946</v>
      </c>
      <c r="K342" s="1206" t="s">
        <v>732</v>
      </c>
      <c r="L342" s="1038"/>
      <c r="M342" s="1038"/>
      <c r="N342" s="220"/>
      <c r="O342" s="220"/>
      <c r="P342" s="220"/>
      <c r="Q342" s="220"/>
      <c r="R342" s="220"/>
    </row>
    <row r="343" spans="1:18" s="62" customFormat="1" ht="12" customHeight="1">
      <c r="A343" s="1251" t="s">
        <v>1144</v>
      </c>
      <c r="B343" s="1038"/>
      <c r="C343" s="1019"/>
      <c r="D343" s="1019"/>
      <c r="E343" s="1019"/>
      <c r="F343" s="1019"/>
      <c r="G343" s="1019"/>
      <c r="H343" s="1019"/>
      <c r="I343" s="1189"/>
      <c r="J343" s="1198"/>
      <c r="K343" s="1206"/>
      <c r="L343" s="1038" t="s">
        <v>28</v>
      </c>
      <c r="M343" s="1038" t="s">
        <v>31</v>
      </c>
      <c r="N343" s="220">
        <v>17.614999999999998</v>
      </c>
      <c r="O343" s="220">
        <v>17.614999999999998</v>
      </c>
      <c r="P343" s="220">
        <v>0</v>
      </c>
      <c r="Q343" s="220">
        <v>0</v>
      </c>
      <c r="R343" s="220">
        <v>0</v>
      </c>
    </row>
    <row r="344" spans="1:18" s="62" customFormat="1" ht="12" customHeight="1">
      <c r="A344" s="1251"/>
      <c r="B344" s="1120"/>
      <c r="C344" s="1061"/>
      <c r="D344" s="1061"/>
      <c r="E344" s="1061"/>
      <c r="F344" s="1061"/>
      <c r="G344" s="1061"/>
      <c r="H344" s="1061"/>
      <c r="I344" s="1303"/>
      <c r="J344" s="1242"/>
      <c r="K344" s="1347"/>
      <c r="L344" s="1038" t="s">
        <v>28</v>
      </c>
      <c r="M344" s="1038" t="s">
        <v>32</v>
      </c>
      <c r="N344" s="766">
        <v>178.672</v>
      </c>
      <c r="O344" s="766">
        <v>178.672</v>
      </c>
      <c r="P344" s="220">
        <v>43.6</v>
      </c>
      <c r="Q344" s="220">
        <v>0</v>
      </c>
      <c r="R344" s="220">
        <v>0</v>
      </c>
    </row>
    <row r="345" spans="1:18" s="62" customFormat="1" ht="12" customHeight="1">
      <c r="A345" s="1251"/>
      <c r="B345" s="1120"/>
      <c r="C345" s="1061"/>
      <c r="D345" s="1061"/>
      <c r="E345" s="1061"/>
      <c r="F345" s="1061"/>
      <c r="G345" s="1061"/>
      <c r="H345" s="1061"/>
      <c r="I345" s="1303"/>
      <c r="J345" s="1242"/>
      <c r="K345" s="1347"/>
      <c r="L345" s="229" t="s">
        <v>28</v>
      </c>
      <c r="M345" s="229" t="s">
        <v>29</v>
      </c>
      <c r="N345" s="766">
        <v>76.881</v>
      </c>
      <c r="O345" s="766">
        <v>76.881</v>
      </c>
      <c r="P345" s="220">
        <v>0</v>
      </c>
      <c r="Q345" s="220">
        <v>0</v>
      </c>
      <c r="R345" s="220">
        <v>0</v>
      </c>
    </row>
    <row r="346" spans="1:18" s="62" customFormat="1" ht="12" customHeight="1">
      <c r="A346" s="1066"/>
      <c r="B346" s="1120"/>
      <c r="C346" s="1061"/>
      <c r="D346" s="1061"/>
      <c r="E346" s="1061"/>
      <c r="F346" s="1061"/>
      <c r="G346" s="1061"/>
      <c r="H346" s="1061"/>
      <c r="I346" s="1303"/>
      <c r="J346" s="1242"/>
      <c r="K346" s="1347"/>
      <c r="L346" s="1038" t="s">
        <v>36</v>
      </c>
      <c r="M346" s="1038" t="s">
        <v>33</v>
      </c>
      <c r="N346" s="766">
        <v>63.369</v>
      </c>
      <c r="O346" s="766">
        <v>63.369</v>
      </c>
      <c r="P346" s="220">
        <v>0</v>
      </c>
      <c r="Q346" s="220">
        <v>0</v>
      </c>
      <c r="R346" s="220">
        <v>0</v>
      </c>
    </row>
    <row r="347" spans="1:18" s="62" customFormat="1" ht="12" customHeight="1">
      <c r="A347" s="1066"/>
      <c r="B347" s="1120"/>
      <c r="C347" s="1061"/>
      <c r="D347" s="1061"/>
      <c r="E347" s="1061"/>
      <c r="F347" s="1061"/>
      <c r="G347" s="1061"/>
      <c r="H347" s="1061"/>
      <c r="I347" s="1303"/>
      <c r="J347" s="1242"/>
      <c r="K347" s="1347"/>
      <c r="L347" s="1038" t="s">
        <v>34</v>
      </c>
      <c r="M347" s="1038" t="s">
        <v>32</v>
      </c>
      <c r="N347" s="766">
        <v>35.749000000000002</v>
      </c>
      <c r="O347" s="766">
        <v>35.749000000000002</v>
      </c>
      <c r="P347" s="220">
        <v>0</v>
      </c>
      <c r="Q347" s="220">
        <v>0</v>
      </c>
      <c r="R347" s="220">
        <v>0</v>
      </c>
    </row>
    <row r="348" spans="1:18" s="62" customFormat="1" ht="24" customHeight="1">
      <c r="A348" s="583" t="s">
        <v>1145</v>
      </c>
      <c r="B348" s="1038"/>
      <c r="C348" s="1019"/>
      <c r="D348" s="1019"/>
      <c r="E348" s="1019"/>
      <c r="F348" s="1019"/>
      <c r="G348" s="1019"/>
      <c r="H348" s="1019"/>
      <c r="I348" s="1189"/>
      <c r="J348" s="1198"/>
      <c r="K348" s="1206"/>
      <c r="L348" s="1038"/>
      <c r="M348" s="1038"/>
      <c r="N348" s="220"/>
      <c r="O348" s="220"/>
      <c r="P348" s="220"/>
      <c r="Q348" s="220"/>
      <c r="R348" s="220"/>
    </row>
    <row r="349" spans="1:18" s="62" customFormat="1" ht="26.25" customHeight="1">
      <c r="A349" s="228" t="s">
        <v>1147</v>
      </c>
      <c r="B349" s="1038"/>
      <c r="C349" s="1019"/>
      <c r="D349" s="1019"/>
      <c r="E349" s="1019"/>
      <c r="F349" s="1019"/>
      <c r="G349" s="1019"/>
      <c r="H349" s="1019"/>
      <c r="I349" s="1019"/>
      <c r="J349" s="1027"/>
      <c r="K349" s="1034"/>
      <c r="L349" s="1038" t="s">
        <v>28</v>
      </c>
      <c r="M349" s="1038" t="s">
        <v>32</v>
      </c>
      <c r="N349" s="220">
        <v>373.16800000000001</v>
      </c>
      <c r="O349" s="220">
        <v>373.16800000000001</v>
      </c>
      <c r="P349" s="220">
        <v>376.9</v>
      </c>
      <c r="Q349" s="220">
        <v>0</v>
      </c>
      <c r="R349" s="220">
        <v>0</v>
      </c>
    </row>
    <row r="350" spans="1:18" s="62" customFormat="1" ht="24.75" customHeight="1">
      <c r="A350" s="228" t="s">
        <v>1146</v>
      </c>
      <c r="B350" s="1038"/>
      <c r="C350" s="1019"/>
      <c r="D350" s="1019"/>
      <c r="E350" s="1019"/>
      <c r="F350" s="1019"/>
      <c r="G350" s="1019"/>
      <c r="H350" s="1019"/>
      <c r="I350" s="1019"/>
      <c r="J350" s="1027"/>
      <c r="K350" s="1034"/>
      <c r="L350" s="1038" t="s">
        <v>28</v>
      </c>
      <c r="M350" s="1038" t="s">
        <v>32</v>
      </c>
      <c r="N350" s="220">
        <v>908.56100000000004</v>
      </c>
      <c r="O350" s="220">
        <v>540.88300000000004</v>
      </c>
      <c r="P350" s="220">
        <v>990.69</v>
      </c>
      <c r="Q350" s="220">
        <v>0</v>
      </c>
      <c r="R350" s="220">
        <v>0</v>
      </c>
    </row>
    <row r="351" spans="1:18" s="62" customFormat="1" ht="59.25" customHeight="1">
      <c r="A351" s="720" t="s">
        <v>1227</v>
      </c>
      <c r="B351" s="1120"/>
      <c r="C351" s="1061"/>
      <c r="D351" s="1061"/>
      <c r="E351" s="1061"/>
      <c r="F351" s="1061"/>
      <c r="G351" s="1061"/>
      <c r="H351" s="1061"/>
      <c r="I351" s="1061"/>
      <c r="J351" s="1054"/>
      <c r="K351" s="1096"/>
      <c r="L351" s="1038" t="s">
        <v>28</v>
      </c>
      <c r="M351" s="1038" t="s">
        <v>32</v>
      </c>
      <c r="N351" s="766">
        <v>0</v>
      </c>
      <c r="O351" s="766">
        <v>0</v>
      </c>
      <c r="P351" s="766">
        <v>3129.2</v>
      </c>
      <c r="Q351" s="766">
        <v>0</v>
      </c>
      <c r="R351" s="766">
        <v>0</v>
      </c>
    </row>
    <row r="352" spans="1:18" s="62" customFormat="1" ht="12">
      <c r="A352" s="583" t="s">
        <v>1004</v>
      </c>
      <c r="B352" s="1038"/>
      <c r="C352" s="1019"/>
      <c r="D352" s="1019"/>
      <c r="E352" s="1019"/>
      <c r="F352" s="1019"/>
      <c r="G352" s="1019"/>
      <c r="H352" s="1019"/>
      <c r="I352" s="1019"/>
      <c r="J352" s="1027"/>
      <c r="K352" s="1034"/>
      <c r="L352" s="1038"/>
      <c r="M352" s="1038"/>
      <c r="N352" s="220"/>
      <c r="O352" s="220"/>
      <c r="P352" s="220"/>
      <c r="Q352" s="220"/>
      <c r="R352" s="220"/>
    </row>
    <row r="353" spans="1:18" s="62" customFormat="1" ht="23.25" customHeight="1">
      <c r="A353" s="228"/>
      <c r="B353" s="1038"/>
      <c r="C353" s="1303" t="s">
        <v>48</v>
      </c>
      <c r="D353" s="1303" t="s">
        <v>109</v>
      </c>
      <c r="E353" s="1391" t="s">
        <v>49</v>
      </c>
      <c r="F353" s="1303" t="s">
        <v>310</v>
      </c>
      <c r="G353" s="1303" t="s">
        <v>110</v>
      </c>
      <c r="H353" s="1303" t="s">
        <v>50</v>
      </c>
      <c r="I353" s="1189" t="s">
        <v>111</v>
      </c>
      <c r="J353" s="1189" t="s">
        <v>112</v>
      </c>
      <c r="K353" s="1189" t="s">
        <v>113</v>
      </c>
      <c r="L353" s="1038" t="s">
        <v>28</v>
      </c>
      <c r="M353" s="1038" t="s">
        <v>31</v>
      </c>
      <c r="N353" s="220">
        <v>646.08900000000006</v>
      </c>
      <c r="O353" s="220">
        <v>646.08900000000006</v>
      </c>
      <c r="P353" s="220">
        <v>549.15</v>
      </c>
      <c r="Q353" s="220">
        <v>549.15</v>
      </c>
      <c r="R353" s="220">
        <v>549.15</v>
      </c>
    </row>
    <row r="354" spans="1:18" s="62" customFormat="1" ht="23.25" customHeight="1">
      <c r="A354" s="228"/>
      <c r="B354" s="1038"/>
      <c r="C354" s="1303"/>
      <c r="D354" s="1303"/>
      <c r="E354" s="1391"/>
      <c r="F354" s="1303"/>
      <c r="G354" s="1303"/>
      <c r="H354" s="1303"/>
      <c r="I354" s="1189"/>
      <c r="J354" s="1189"/>
      <c r="K354" s="1189"/>
      <c r="L354" s="1038" t="s">
        <v>28</v>
      </c>
      <c r="M354" s="1038" t="s">
        <v>35</v>
      </c>
      <c r="N354" s="220">
        <v>926.6</v>
      </c>
      <c r="O354" s="220">
        <v>917.57500000000005</v>
      </c>
      <c r="P354" s="220">
        <v>626.20000000000005</v>
      </c>
      <c r="Q354" s="220">
        <v>627.4</v>
      </c>
      <c r="R354" s="220">
        <v>628.6</v>
      </c>
    </row>
    <row r="355" spans="1:18" s="62" customFormat="1" ht="60" customHeight="1">
      <c r="A355" s="228"/>
      <c r="B355" s="1038"/>
      <c r="C355" s="1019" t="s">
        <v>43</v>
      </c>
      <c r="D355" s="1019" t="s">
        <v>508</v>
      </c>
      <c r="E355" s="1021" t="s">
        <v>114</v>
      </c>
      <c r="F355" s="1019"/>
      <c r="G355" s="1019"/>
      <c r="H355" s="1019"/>
      <c r="I355" s="1019" t="s">
        <v>809</v>
      </c>
      <c r="J355" s="1019" t="s">
        <v>509</v>
      </c>
      <c r="K355" s="1019" t="s">
        <v>47</v>
      </c>
      <c r="L355" s="1038" t="s">
        <v>28</v>
      </c>
      <c r="M355" s="1038" t="s">
        <v>32</v>
      </c>
      <c r="N355" s="220">
        <v>26337.995999999999</v>
      </c>
      <c r="O355" s="220">
        <v>25213.571</v>
      </c>
      <c r="P355" s="220">
        <v>22739.014999999999</v>
      </c>
      <c r="Q355" s="220">
        <v>22052.254000000001</v>
      </c>
      <c r="R355" s="78">
        <v>22130.066999999999</v>
      </c>
    </row>
    <row r="356" spans="1:18" s="62" customFormat="1" ht="70.5" customHeight="1">
      <c r="A356" s="228"/>
      <c r="B356" s="1038"/>
      <c r="C356" s="1019" t="s">
        <v>494</v>
      </c>
      <c r="D356" s="1019" t="s">
        <v>495</v>
      </c>
      <c r="E356" s="1021" t="s">
        <v>496</v>
      </c>
      <c r="F356" s="1019"/>
      <c r="G356" s="1019"/>
      <c r="H356" s="1019"/>
      <c r="I356" s="1019" t="s">
        <v>1031</v>
      </c>
      <c r="J356" s="1019" t="s">
        <v>54</v>
      </c>
      <c r="K356" s="1019" t="s">
        <v>57</v>
      </c>
      <c r="L356" s="229" t="s">
        <v>28</v>
      </c>
      <c r="M356" s="229" t="s">
        <v>29</v>
      </c>
      <c r="N356" s="220">
        <f>6987.25+307.086</f>
        <v>7294.3360000000002</v>
      </c>
      <c r="O356" s="220">
        <f>6941.438+307.086</f>
        <v>7248.5240000000003</v>
      </c>
      <c r="P356" s="220">
        <v>7046.4269999999997</v>
      </c>
      <c r="Q356" s="220">
        <v>6908.5429999999997</v>
      </c>
      <c r="R356" s="78">
        <v>6897.8429999999998</v>
      </c>
    </row>
    <row r="357" spans="1:18" s="62" customFormat="1" ht="71.25" customHeight="1">
      <c r="A357" s="228"/>
      <c r="B357" s="1038"/>
      <c r="C357" s="1019" t="s">
        <v>523</v>
      </c>
      <c r="D357" s="1019" t="s">
        <v>524</v>
      </c>
      <c r="E357" s="1027" t="s">
        <v>190</v>
      </c>
      <c r="F357" s="1019"/>
      <c r="G357" s="1019"/>
      <c r="H357" s="1019"/>
      <c r="I357" s="1019" t="s">
        <v>601</v>
      </c>
      <c r="J357" s="1019" t="s">
        <v>115</v>
      </c>
      <c r="K357" s="1019" t="s">
        <v>116</v>
      </c>
      <c r="L357" s="1038" t="s">
        <v>36</v>
      </c>
      <c r="M357" s="1038" t="s">
        <v>33</v>
      </c>
      <c r="N357" s="220">
        <f>7541.761+9.761</f>
        <v>7551.5220000000008</v>
      </c>
      <c r="O357" s="220">
        <f>7447.532+9.761</f>
        <v>7457.2930000000006</v>
      </c>
      <c r="P357" s="220">
        <v>7910.7</v>
      </c>
      <c r="Q357" s="220">
        <v>7263</v>
      </c>
      <c r="R357" s="220">
        <v>7277.9</v>
      </c>
    </row>
    <row r="358" spans="1:18" s="62" customFormat="1" ht="72">
      <c r="A358" s="228"/>
      <c r="B358" s="1038"/>
      <c r="C358" s="1019"/>
      <c r="D358" s="1019"/>
      <c r="E358" s="1019"/>
      <c r="F358" s="1019"/>
      <c r="G358" s="1019"/>
      <c r="H358" s="1019"/>
      <c r="I358" s="1019" t="s">
        <v>600</v>
      </c>
      <c r="J358" s="1027" t="s">
        <v>54</v>
      </c>
      <c r="K358" s="1034" t="s">
        <v>93</v>
      </c>
      <c r="L358" s="1038" t="s">
        <v>34</v>
      </c>
      <c r="M358" s="1038" t="s">
        <v>32</v>
      </c>
      <c r="N358" s="220">
        <v>3627.2620000000002</v>
      </c>
      <c r="O358" s="220">
        <v>3507.8249999999998</v>
      </c>
      <c r="P358" s="220">
        <v>3750.76</v>
      </c>
      <c r="Q358" s="220">
        <v>3682.9</v>
      </c>
      <c r="R358" s="220">
        <v>3686.1</v>
      </c>
    </row>
    <row r="359" spans="1:18" s="62" customFormat="1" ht="12" hidden="1">
      <c r="A359" s="463"/>
      <c r="B359" s="1064"/>
      <c r="C359" s="1076"/>
      <c r="D359" s="1076"/>
      <c r="E359" s="1076"/>
      <c r="F359" s="1076"/>
      <c r="G359" s="1076"/>
      <c r="H359" s="1076"/>
      <c r="I359" s="1076"/>
      <c r="J359" s="478"/>
      <c r="K359" s="496"/>
      <c r="L359" s="1064">
        <v>10</v>
      </c>
      <c r="M359" s="1064" t="s">
        <v>32</v>
      </c>
      <c r="N359" s="465">
        <v>0</v>
      </c>
      <c r="O359" s="465"/>
      <c r="P359" s="465">
        <v>0</v>
      </c>
      <c r="Q359" s="465">
        <v>0</v>
      </c>
      <c r="R359" s="465">
        <v>0</v>
      </c>
    </row>
    <row r="360" spans="1:18" s="63" customFormat="1" ht="46.5" customHeight="1">
      <c r="A360" s="18" t="s">
        <v>450</v>
      </c>
      <c r="B360" s="767">
        <v>1202</v>
      </c>
      <c r="C360" s="768"/>
      <c r="D360" s="768"/>
      <c r="E360" s="768"/>
      <c r="F360" s="768"/>
      <c r="G360" s="768"/>
      <c r="H360" s="768"/>
      <c r="I360" s="768"/>
      <c r="J360" s="769"/>
      <c r="K360" s="770"/>
      <c r="L360" s="767"/>
      <c r="M360" s="767"/>
      <c r="N360" s="771">
        <f>SUM(N364:N374)</f>
        <v>85749.906000000003</v>
      </c>
      <c r="O360" s="771">
        <f t="shared" ref="O360:R360" si="20">SUM(O364:O374)</f>
        <v>85189.512999999992</v>
      </c>
      <c r="P360" s="771">
        <f t="shared" si="20"/>
        <v>84020.902999999991</v>
      </c>
      <c r="Q360" s="771">
        <f t="shared" si="20"/>
        <v>81576.006999999998</v>
      </c>
      <c r="R360" s="771">
        <f t="shared" si="20"/>
        <v>81576.006999999998</v>
      </c>
    </row>
    <row r="361" spans="1:18" s="63" customFormat="1" ht="12">
      <c r="A361" s="727"/>
      <c r="B361" s="767"/>
      <c r="C361" s="768"/>
      <c r="D361" s="768"/>
      <c r="E361" s="768"/>
      <c r="F361" s="768"/>
      <c r="G361" s="768"/>
      <c r="H361" s="768"/>
      <c r="I361" s="768"/>
      <c r="J361" s="769"/>
      <c r="K361" s="770"/>
      <c r="L361" s="767"/>
      <c r="M361" s="767"/>
      <c r="N361" s="771"/>
      <c r="O361" s="771"/>
      <c r="P361" s="771"/>
      <c r="Q361" s="771"/>
      <c r="R361" s="771"/>
    </row>
    <row r="362" spans="1:18" s="62" customFormat="1" ht="12" customHeight="1">
      <c r="A362" s="636" t="s">
        <v>1003</v>
      </c>
      <c r="B362" s="492"/>
      <c r="C362" s="532"/>
      <c r="D362" s="532"/>
      <c r="E362" s="532"/>
      <c r="F362" s="532"/>
      <c r="G362" s="532"/>
      <c r="H362" s="532"/>
      <c r="I362" s="1043"/>
      <c r="J362" s="620"/>
      <c r="K362" s="637"/>
      <c r="L362" s="1063"/>
      <c r="M362" s="1063"/>
      <c r="N362" s="624"/>
      <c r="O362" s="624"/>
      <c r="P362" s="624"/>
      <c r="Q362" s="624"/>
      <c r="R362" s="624"/>
    </row>
    <row r="363" spans="1:18" s="62" customFormat="1" ht="24.75" customHeight="1">
      <c r="A363" s="583" t="s">
        <v>1143</v>
      </c>
      <c r="B363" s="1038"/>
      <c r="C363" s="1019"/>
      <c r="D363" s="1019"/>
      <c r="E363" s="1019"/>
      <c r="F363" s="1019"/>
      <c r="G363" s="1019"/>
      <c r="H363" s="1019"/>
      <c r="I363" s="1256" t="s">
        <v>1520</v>
      </c>
      <c r="J363" s="1242" t="s">
        <v>946</v>
      </c>
      <c r="K363" s="1347" t="s">
        <v>732</v>
      </c>
      <c r="L363" s="1038"/>
      <c r="M363" s="1038"/>
      <c r="N363" s="220"/>
      <c r="O363" s="220"/>
      <c r="P363" s="220"/>
      <c r="Q363" s="220"/>
      <c r="R363" s="220"/>
    </row>
    <row r="364" spans="1:18" s="62" customFormat="1" ht="12" customHeight="1">
      <c r="A364" s="1251" t="s">
        <v>1144</v>
      </c>
      <c r="B364" s="1038"/>
      <c r="C364" s="1019"/>
      <c r="D364" s="1019"/>
      <c r="E364" s="1019"/>
      <c r="F364" s="1019"/>
      <c r="G364" s="1019"/>
      <c r="H364" s="1019"/>
      <c r="I364" s="1256"/>
      <c r="J364" s="1242"/>
      <c r="K364" s="1347"/>
      <c r="L364" s="1038" t="s">
        <v>28</v>
      </c>
      <c r="M364" s="1038" t="s">
        <v>31</v>
      </c>
      <c r="N364" s="220">
        <v>115.13200000000001</v>
      </c>
      <c r="O364" s="220">
        <v>115.13200000000001</v>
      </c>
      <c r="P364" s="220">
        <v>0</v>
      </c>
      <c r="Q364" s="220">
        <v>0</v>
      </c>
      <c r="R364" s="220">
        <v>0</v>
      </c>
    </row>
    <row r="365" spans="1:18" s="62" customFormat="1" ht="12" customHeight="1">
      <c r="A365" s="1251"/>
      <c r="B365" s="1120"/>
      <c r="C365" s="1061"/>
      <c r="D365" s="1061"/>
      <c r="E365" s="1061"/>
      <c r="F365" s="1061"/>
      <c r="G365" s="1061"/>
      <c r="H365" s="1061"/>
      <c r="I365" s="1256"/>
      <c r="J365" s="1242"/>
      <c r="K365" s="1347"/>
      <c r="L365" s="1038" t="s">
        <v>28</v>
      </c>
      <c r="M365" s="1038" t="s">
        <v>32</v>
      </c>
      <c r="N365" s="766">
        <v>532.76</v>
      </c>
      <c r="O365" s="766">
        <v>532.76</v>
      </c>
      <c r="P365" s="220">
        <v>0</v>
      </c>
      <c r="Q365" s="220">
        <v>0</v>
      </c>
      <c r="R365" s="220">
        <v>0</v>
      </c>
    </row>
    <row r="366" spans="1:18" s="62" customFormat="1" ht="12" customHeight="1">
      <c r="A366" s="1251"/>
      <c r="B366" s="1120"/>
      <c r="C366" s="1061"/>
      <c r="D366" s="1061"/>
      <c r="E366" s="1061"/>
      <c r="F366" s="1061"/>
      <c r="G366" s="1061"/>
      <c r="H366" s="1061"/>
      <c r="I366" s="1256"/>
      <c r="J366" s="1242"/>
      <c r="K366" s="1347"/>
      <c r="L366" s="229" t="s">
        <v>28</v>
      </c>
      <c r="M366" s="229" t="s">
        <v>29</v>
      </c>
      <c r="N366" s="766">
        <v>254.59899999999999</v>
      </c>
      <c r="O366" s="766">
        <v>254.59899999999999</v>
      </c>
      <c r="P366" s="220">
        <v>0</v>
      </c>
      <c r="Q366" s="220">
        <v>0</v>
      </c>
      <c r="R366" s="220">
        <v>0</v>
      </c>
    </row>
    <row r="367" spans="1:18" s="62" customFormat="1" ht="12" customHeight="1">
      <c r="A367" s="1066"/>
      <c r="B367" s="1120"/>
      <c r="C367" s="1061"/>
      <c r="D367" s="1061"/>
      <c r="E367" s="1061"/>
      <c r="F367" s="1061"/>
      <c r="G367" s="1061"/>
      <c r="H367" s="1061"/>
      <c r="I367" s="1256"/>
      <c r="J367" s="1242"/>
      <c r="K367" s="1347"/>
      <c r="L367" s="1038" t="s">
        <v>36</v>
      </c>
      <c r="M367" s="1038" t="s">
        <v>33</v>
      </c>
      <c r="N367" s="766">
        <v>209.83099999999999</v>
      </c>
      <c r="O367" s="766">
        <v>209.83099999999999</v>
      </c>
      <c r="P367" s="220">
        <v>0</v>
      </c>
      <c r="Q367" s="220">
        <v>0</v>
      </c>
      <c r="R367" s="220">
        <v>0</v>
      </c>
    </row>
    <row r="368" spans="1:18" s="62" customFormat="1" ht="12" customHeight="1">
      <c r="A368" s="1066"/>
      <c r="B368" s="1120"/>
      <c r="C368" s="1061"/>
      <c r="D368" s="1061"/>
      <c r="E368" s="1061"/>
      <c r="F368" s="1061"/>
      <c r="G368" s="1061"/>
      <c r="H368" s="1061"/>
      <c r="I368" s="1256"/>
      <c r="J368" s="772"/>
      <c r="K368" s="773"/>
      <c r="L368" s="1038" t="s">
        <v>34</v>
      </c>
      <c r="M368" s="1038" t="s">
        <v>32</v>
      </c>
      <c r="N368" s="766">
        <v>118.39100000000001</v>
      </c>
      <c r="O368" s="766">
        <v>118.39100000000001</v>
      </c>
      <c r="P368" s="220">
        <v>0</v>
      </c>
      <c r="Q368" s="220">
        <v>0</v>
      </c>
      <c r="R368" s="220">
        <v>0</v>
      </c>
    </row>
    <row r="369" spans="1:18" s="62" customFormat="1" ht="49.5" customHeight="1">
      <c r="A369" s="583" t="s">
        <v>1008</v>
      </c>
      <c r="B369" s="1120"/>
      <c r="C369" s="1061" t="s">
        <v>48</v>
      </c>
      <c r="D369" s="1061" t="s">
        <v>109</v>
      </c>
      <c r="E369" s="1121" t="s">
        <v>49</v>
      </c>
      <c r="F369" s="1061" t="s">
        <v>310</v>
      </c>
      <c r="G369" s="1061" t="s">
        <v>110</v>
      </c>
      <c r="H369" s="1061" t="s">
        <v>50</v>
      </c>
      <c r="I369" s="1303" t="s">
        <v>1032</v>
      </c>
      <c r="J369" s="1303" t="s">
        <v>54</v>
      </c>
      <c r="K369" s="1303" t="s">
        <v>396</v>
      </c>
      <c r="L369" s="760" t="s">
        <v>28</v>
      </c>
      <c r="M369" s="760" t="s">
        <v>31</v>
      </c>
      <c r="N369" s="766">
        <v>2359.9229999999998</v>
      </c>
      <c r="O369" s="766">
        <v>2359.9229999999998</v>
      </c>
      <c r="P369" s="766">
        <v>1818.45</v>
      </c>
      <c r="Q369" s="766">
        <v>1818.45</v>
      </c>
      <c r="R369" s="766">
        <v>1818.45</v>
      </c>
    </row>
    <row r="370" spans="1:18" s="62" customFormat="1" ht="110.25" customHeight="1">
      <c r="A370" s="228"/>
      <c r="B370" s="1120"/>
      <c r="C370" s="1061" t="s">
        <v>494</v>
      </c>
      <c r="D370" s="1061" t="s">
        <v>495</v>
      </c>
      <c r="E370" s="1121" t="s">
        <v>496</v>
      </c>
      <c r="F370" s="1061"/>
      <c r="G370" s="1061"/>
      <c r="H370" s="1061"/>
      <c r="I370" s="1303"/>
      <c r="J370" s="1303"/>
      <c r="K370" s="1303"/>
      <c r="L370" s="760"/>
      <c r="M370" s="760"/>
      <c r="N370" s="766"/>
      <c r="O370" s="766"/>
      <c r="P370" s="766"/>
      <c r="Q370" s="766"/>
      <c r="R370" s="766"/>
    </row>
    <row r="371" spans="1:18" s="62" customFormat="1" ht="37.5" customHeight="1">
      <c r="A371" s="22"/>
      <c r="B371" s="1029"/>
      <c r="C371" s="1025"/>
      <c r="D371" s="1025"/>
      <c r="E371" s="1022"/>
      <c r="F371" s="1025"/>
      <c r="G371" s="1025"/>
      <c r="H371" s="1025"/>
      <c r="I371" s="1100" t="s">
        <v>111</v>
      </c>
      <c r="J371" s="1025" t="s">
        <v>112</v>
      </c>
      <c r="K371" s="678" t="s">
        <v>113</v>
      </c>
      <c r="L371" s="233" t="s">
        <v>28</v>
      </c>
      <c r="M371" s="233" t="s">
        <v>32</v>
      </c>
      <c r="N371" s="214">
        <v>37790.146000000001</v>
      </c>
      <c r="O371" s="214">
        <v>37442.872000000003</v>
      </c>
      <c r="P371" s="214">
        <v>37580.339999999997</v>
      </c>
      <c r="Q371" s="214">
        <v>36420</v>
      </c>
      <c r="R371" s="214">
        <v>36420</v>
      </c>
    </row>
    <row r="372" spans="1:18" s="62" customFormat="1" ht="96" customHeight="1">
      <c r="A372" s="22"/>
      <c r="B372" s="1029"/>
      <c r="C372" s="1025" t="s">
        <v>312</v>
      </c>
      <c r="D372" s="1025" t="s">
        <v>510</v>
      </c>
      <c r="E372" s="1025" t="s">
        <v>51</v>
      </c>
      <c r="F372" s="1025" t="s">
        <v>500</v>
      </c>
      <c r="G372" s="1025" t="s">
        <v>511</v>
      </c>
      <c r="H372" s="1025" t="s">
        <v>52</v>
      </c>
      <c r="I372" s="974" t="s">
        <v>1031</v>
      </c>
      <c r="J372" s="974" t="s">
        <v>54</v>
      </c>
      <c r="K372" s="975" t="s">
        <v>57</v>
      </c>
      <c r="L372" s="233" t="s">
        <v>28</v>
      </c>
      <c r="M372" s="233" t="s">
        <v>29</v>
      </c>
      <c r="N372" s="214">
        <f>17426.987+1020.839</f>
        <v>18447.826000000001</v>
      </c>
      <c r="O372" s="214">
        <f>17323.316+1020.839</f>
        <v>18344.154999999999</v>
      </c>
      <c r="P372" s="214">
        <v>18820.573</v>
      </c>
      <c r="Q372" s="214">
        <v>18278.156999999999</v>
      </c>
      <c r="R372" s="214">
        <v>18278.156999999999</v>
      </c>
    </row>
    <row r="373" spans="1:18" s="62" customFormat="1" ht="71.25" customHeight="1">
      <c r="A373" s="22"/>
      <c r="B373" s="1029"/>
      <c r="C373" s="974" t="s">
        <v>523</v>
      </c>
      <c r="D373" s="974" t="s">
        <v>524</v>
      </c>
      <c r="E373" s="868" t="s">
        <v>190</v>
      </c>
      <c r="F373" s="1025"/>
      <c r="G373" s="1025"/>
      <c r="H373" s="1025"/>
      <c r="I373" s="974" t="s">
        <v>601</v>
      </c>
      <c r="J373" s="974" t="s">
        <v>115</v>
      </c>
      <c r="K373" s="975" t="s">
        <v>116</v>
      </c>
      <c r="L373" s="233" t="s">
        <v>36</v>
      </c>
      <c r="M373" s="233" t="s">
        <v>33</v>
      </c>
      <c r="N373" s="214">
        <f>16798.775</f>
        <v>16798.775000000001</v>
      </c>
      <c r="O373" s="214">
        <f>16767.143</f>
        <v>16767.143</v>
      </c>
      <c r="P373" s="214">
        <v>16952.599999999999</v>
      </c>
      <c r="Q373" s="214">
        <v>16446.099999999999</v>
      </c>
      <c r="R373" s="214">
        <v>16446.099999999999</v>
      </c>
    </row>
    <row r="374" spans="1:18" s="62" customFormat="1" ht="72">
      <c r="A374" s="25"/>
      <c r="B374" s="1065"/>
      <c r="C374" s="1026"/>
      <c r="D374" s="1026"/>
      <c r="E374" s="1026"/>
      <c r="F374" s="1026"/>
      <c r="G374" s="1026"/>
      <c r="H374" s="1026"/>
      <c r="I374" s="1025" t="s">
        <v>600</v>
      </c>
      <c r="J374" s="364" t="s">
        <v>54</v>
      </c>
      <c r="K374" s="1055" t="s">
        <v>93</v>
      </c>
      <c r="L374" s="670" t="s">
        <v>34</v>
      </c>
      <c r="M374" s="670" t="s">
        <v>32</v>
      </c>
      <c r="N374" s="559">
        <v>9122.5229999999992</v>
      </c>
      <c r="O374" s="559">
        <v>9044.7070000000003</v>
      </c>
      <c r="P374" s="559">
        <v>8848.94</v>
      </c>
      <c r="Q374" s="559">
        <v>8613.2999999999993</v>
      </c>
      <c r="R374" s="559">
        <v>8613.2999999999993</v>
      </c>
    </row>
    <row r="375" spans="1:18" s="63" customFormat="1" ht="60" hidden="1">
      <c r="A375" s="16" t="s">
        <v>451</v>
      </c>
      <c r="B375" s="802">
        <v>1203</v>
      </c>
      <c r="C375" s="109"/>
      <c r="D375" s="109"/>
      <c r="E375" s="109"/>
      <c r="F375" s="109"/>
      <c r="G375" s="109"/>
      <c r="H375" s="109"/>
      <c r="I375" s="109"/>
      <c r="J375" s="110"/>
      <c r="K375" s="111"/>
      <c r="L375" s="1011"/>
      <c r="M375" s="1011"/>
      <c r="N375" s="52"/>
      <c r="O375" s="52"/>
      <c r="P375" s="52"/>
      <c r="Q375" s="52"/>
      <c r="R375" s="52"/>
    </row>
    <row r="376" spans="1:18" s="63" customFormat="1" ht="60" hidden="1" customHeight="1">
      <c r="A376" s="1067" t="s">
        <v>452</v>
      </c>
      <c r="B376" s="802">
        <v>1204</v>
      </c>
      <c r="C376" s="1040" t="s">
        <v>43</v>
      </c>
      <c r="D376" s="1040" t="s">
        <v>316</v>
      </c>
      <c r="E376" s="303" t="s">
        <v>114</v>
      </c>
      <c r="F376" s="16" t="s">
        <v>27</v>
      </c>
      <c r="G376" s="16" t="s">
        <v>27</v>
      </c>
      <c r="H376" s="16" t="s">
        <v>27</v>
      </c>
      <c r="I376" s="1028" t="s">
        <v>320</v>
      </c>
      <c r="J376" s="29" t="s">
        <v>54</v>
      </c>
      <c r="K376" s="99" t="s">
        <v>321</v>
      </c>
      <c r="L376" s="201" t="s">
        <v>22</v>
      </c>
      <c r="M376" s="226" t="s">
        <v>28</v>
      </c>
      <c r="N376" s="42"/>
      <c r="O376" s="224"/>
      <c r="P376" s="42"/>
      <c r="Q376" s="42"/>
      <c r="R376" s="42"/>
    </row>
    <row r="377" spans="1:18" s="63" customFormat="1" ht="72" hidden="1" customHeight="1">
      <c r="A377" s="499" t="s">
        <v>1009</v>
      </c>
      <c r="B377" s="500">
        <v>1206</v>
      </c>
      <c r="C377" s="501" t="s">
        <v>43</v>
      </c>
      <c r="D377" s="501" t="s">
        <v>315</v>
      </c>
      <c r="E377" s="501" t="s">
        <v>44</v>
      </c>
      <c r="F377" s="501"/>
      <c r="G377" s="501"/>
      <c r="H377" s="501"/>
      <c r="I377" s="501" t="s">
        <v>768</v>
      </c>
      <c r="J377" s="501" t="s">
        <v>54</v>
      </c>
      <c r="K377" s="502" t="s">
        <v>47</v>
      </c>
      <c r="L377" s="503" t="s">
        <v>28</v>
      </c>
      <c r="M377" s="504" t="s">
        <v>32</v>
      </c>
      <c r="N377" s="505">
        <v>0</v>
      </c>
      <c r="O377" s="455"/>
      <c r="P377" s="505">
        <v>0</v>
      </c>
      <c r="Q377" s="505">
        <v>0</v>
      </c>
      <c r="R377" s="505">
        <v>0</v>
      </c>
    </row>
    <row r="378" spans="1:18" s="63" customFormat="1" ht="106.5" customHeight="1">
      <c r="A378" s="506" t="s">
        <v>453</v>
      </c>
      <c r="B378" s="507">
        <v>1208</v>
      </c>
      <c r="C378" s="506" t="s">
        <v>27</v>
      </c>
      <c r="D378" s="506" t="s">
        <v>27</v>
      </c>
      <c r="E378" s="506" t="s">
        <v>27</v>
      </c>
      <c r="F378" s="506" t="s">
        <v>27</v>
      </c>
      <c r="G378" s="506" t="s">
        <v>27</v>
      </c>
      <c r="H378" s="506" t="s">
        <v>27</v>
      </c>
      <c r="I378" s="506" t="s">
        <v>27</v>
      </c>
      <c r="J378" s="506" t="s">
        <v>27</v>
      </c>
      <c r="K378" s="506" t="s">
        <v>27</v>
      </c>
      <c r="L378" s="507" t="s">
        <v>28</v>
      </c>
      <c r="M378" s="507" t="s">
        <v>22</v>
      </c>
      <c r="N378" s="508">
        <f t="shared" ref="N378:R378" si="21">SUM(N379:N388)</f>
        <v>12872.723000000002</v>
      </c>
      <c r="O378" s="508">
        <f t="shared" si="21"/>
        <v>12858.678</v>
      </c>
      <c r="P378" s="508">
        <f t="shared" si="21"/>
        <v>13452</v>
      </c>
      <c r="Q378" s="508">
        <f t="shared" si="21"/>
        <v>13491.099999999999</v>
      </c>
      <c r="R378" s="509">
        <f t="shared" si="21"/>
        <v>13533.7</v>
      </c>
    </row>
    <row r="379" spans="1:18" s="62" customFormat="1" ht="13.5" customHeight="1">
      <c r="A379" s="642" t="s">
        <v>1010</v>
      </c>
      <c r="B379" s="598"/>
      <c r="C379" s="1221" t="s">
        <v>122</v>
      </c>
      <c r="D379" s="1221" t="s">
        <v>123</v>
      </c>
      <c r="E379" s="1377" t="s">
        <v>124</v>
      </c>
      <c r="F379" s="1257" t="s">
        <v>125</v>
      </c>
      <c r="G379" s="1257" t="s">
        <v>126</v>
      </c>
      <c r="H379" s="1257" t="s">
        <v>127</v>
      </c>
      <c r="I379" s="641"/>
      <c r="J379" s="641"/>
      <c r="K379" s="641"/>
      <c r="L379" s="1063"/>
      <c r="M379" s="1063"/>
      <c r="N379" s="624"/>
      <c r="O379" s="624"/>
      <c r="P379" s="624"/>
      <c r="Q379" s="624"/>
      <c r="R379" s="635"/>
    </row>
    <row r="380" spans="1:18" s="62" customFormat="1" ht="49.5" customHeight="1">
      <c r="A380" s="583" t="s">
        <v>1148</v>
      </c>
      <c r="B380" s="1038"/>
      <c r="C380" s="1189"/>
      <c r="D380" s="1189"/>
      <c r="E380" s="1191"/>
      <c r="F380" s="1189"/>
      <c r="G380" s="1189"/>
      <c r="H380" s="1189"/>
      <c r="I380" s="640" t="s">
        <v>1525</v>
      </c>
      <c r="J380" s="640" t="s">
        <v>947</v>
      </c>
      <c r="K380" s="640" t="s">
        <v>948</v>
      </c>
      <c r="L380" s="1038"/>
      <c r="M380" s="1038"/>
      <c r="N380" s="220"/>
      <c r="O380" s="220"/>
      <c r="P380" s="220"/>
      <c r="Q380" s="220"/>
      <c r="R380" s="78"/>
    </row>
    <row r="381" spans="1:18" s="62" customFormat="1" ht="24">
      <c r="A381" s="228" t="s">
        <v>1149</v>
      </c>
      <c r="B381" s="1038"/>
      <c r="C381" s="1189"/>
      <c r="D381" s="1189"/>
      <c r="E381" s="1191"/>
      <c r="F381" s="1189"/>
      <c r="G381" s="1189"/>
      <c r="H381" s="1189"/>
      <c r="I381" s="1189" t="s">
        <v>748</v>
      </c>
      <c r="J381" s="1189" t="s">
        <v>54</v>
      </c>
      <c r="K381" s="1189" t="s">
        <v>128</v>
      </c>
      <c r="L381" s="1038"/>
      <c r="M381" s="1038"/>
      <c r="N381" s="220">
        <v>3859.6480000000001</v>
      </c>
      <c r="O381" s="220">
        <v>3859.6480000000001</v>
      </c>
      <c r="P381" s="220">
        <v>3913.2</v>
      </c>
      <c r="Q381" s="220">
        <v>3913.2</v>
      </c>
      <c r="R381" s="78">
        <v>3913.2</v>
      </c>
    </row>
    <row r="382" spans="1:18" s="62" customFormat="1" ht="24" customHeight="1">
      <c r="A382" s="228" t="s">
        <v>1150</v>
      </c>
      <c r="B382" s="1038"/>
      <c r="C382" s="1303" t="s">
        <v>43</v>
      </c>
      <c r="D382" s="1189" t="s">
        <v>118</v>
      </c>
      <c r="E382" s="1189" t="s">
        <v>44</v>
      </c>
      <c r="F382" s="1189"/>
      <c r="G382" s="1189"/>
      <c r="H382" s="1189"/>
      <c r="I382" s="1189"/>
      <c r="J382" s="1189"/>
      <c r="K382" s="1189"/>
      <c r="L382" s="1038"/>
      <c r="M382" s="1038"/>
      <c r="N382" s="220">
        <v>234.429</v>
      </c>
      <c r="O382" s="220">
        <v>234.429</v>
      </c>
      <c r="P382" s="220">
        <v>255.9</v>
      </c>
      <c r="Q382" s="220">
        <v>255.9</v>
      </c>
      <c r="R382" s="78">
        <v>255.9</v>
      </c>
    </row>
    <row r="383" spans="1:18" s="62" customFormat="1" ht="25.5" customHeight="1">
      <c r="A383" s="708" t="s">
        <v>1228</v>
      </c>
      <c r="B383" s="1120"/>
      <c r="C383" s="1303"/>
      <c r="D383" s="1303"/>
      <c r="E383" s="1303"/>
      <c r="F383" s="1061"/>
      <c r="G383" s="1061"/>
      <c r="H383" s="1061"/>
      <c r="I383" s="1303" t="s">
        <v>1520</v>
      </c>
      <c r="J383" s="1061" t="s">
        <v>1229</v>
      </c>
      <c r="K383" s="1061" t="s">
        <v>732</v>
      </c>
      <c r="L383" s="1120"/>
      <c r="M383" s="1120"/>
      <c r="N383" s="766"/>
      <c r="O383" s="766"/>
      <c r="P383" s="766"/>
      <c r="Q383" s="766"/>
      <c r="R383" s="78"/>
    </row>
    <row r="384" spans="1:18" s="62" customFormat="1" ht="36.75" customHeight="1">
      <c r="A384" s="720" t="s">
        <v>1230</v>
      </c>
      <c r="B384" s="1120"/>
      <c r="C384" s="1303"/>
      <c r="D384" s="1303"/>
      <c r="E384" s="1303"/>
      <c r="F384" s="1061"/>
      <c r="G384" s="1061"/>
      <c r="H384" s="1061"/>
      <c r="I384" s="1303"/>
      <c r="J384" s="1061"/>
      <c r="K384" s="1061"/>
      <c r="L384" s="1120"/>
      <c r="M384" s="1120"/>
      <c r="N384" s="766">
        <v>23.946000000000002</v>
      </c>
      <c r="O384" s="766">
        <v>23.946000000000002</v>
      </c>
      <c r="P384" s="766">
        <v>0</v>
      </c>
      <c r="Q384" s="766">
        <v>0</v>
      </c>
      <c r="R384" s="78">
        <v>0</v>
      </c>
    </row>
    <row r="385" spans="1:18" s="62" customFormat="1" ht="9.75" customHeight="1">
      <c r="A385" s="720"/>
      <c r="B385" s="1120"/>
      <c r="C385" s="865"/>
      <c r="D385" s="1303"/>
      <c r="E385" s="1303"/>
      <c r="F385" s="1061"/>
      <c r="G385" s="1061"/>
      <c r="H385" s="1061"/>
      <c r="I385" s="1303"/>
      <c r="J385" s="1061"/>
      <c r="K385" s="1061"/>
      <c r="L385" s="1120"/>
      <c r="M385" s="1120"/>
      <c r="N385" s="766"/>
      <c r="O385" s="766"/>
      <c r="P385" s="766"/>
      <c r="Q385" s="766"/>
      <c r="R385" s="78"/>
    </row>
    <row r="386" spans="1:18" s="62" customFormat="1" ht="12">
      <c r="A386" s="583" t="s">
        <v>1011</v>
      </c>
      <c r="B386" s="1038"/>
      <c r="C386" s="865"/>
      <c r="D386" s="1189"/>
      <c r="E386" s="1189"/>
      <c r="F386" s="1019"/>
      <c r="G386" s="1019"/>
      <c r="H386" s="1019"/>
      <c r="I386" s="1019"/>
      <c r="J386" s="1019"/>
      <c r="K386" s="1019"/>
      <c r="L386" s="1038"/>
      <c r="M386" s="1038"/>
      <c r="N386" s="220"/>
      <c r="O386" s="220"/>
      <c r="P386" s="220"/>
      <c r="Q386" s="220"/>
      <c r="R386" s="78"/>
    </row>
    <row r="387" spans="1:18" s="62" customFormat="1" ht="35.25" customHeight="1">
      <c r="A387" s="228" t="s">
        <v>1151</v>
      </c>
      <c r="B387" s="1038"/>
      <c r="C387" s="1303" t="s">
        <v>312</v>
      </c>
      <c r="D387" s="1189"/>
      <c r="E387" s="1189"/>
      <c r="F387" s="1189" t="s">
        <v>311</v>
      </c>
      <c r="G387" s="1189" t="s">
        <v>507</v>
      </c>
      <c r="H387" s="1189" t="s">
        <v>52</v>
      </c>
      <c r="I387" s="1189" t="s">
        <v>119</v>
      </c>
      <c r="J387" s="1189" t="s">
        <v>120</v>
      </c>
      <c r="K387" s="1189" t="s">
        <v>121</v>
      </c>
      <c r="L387" s="1038"/>
      <c r="M387" s="1038"/>
      <c r="N387" s="220">
        <v>8754.7000000000007</v>
      </c>
      <c r="O387" s="220">
        <v>8740.6550000000007</v>
      </c>
      <c r="P387" s="220">
        <f>9282.9</f>
        <v>9282.9</v>
      </c>
      <c r="Q387" s="220">
        <f>9322</f>
        <v>9322</v>
      </c>
      <c r="R387" s="78">
        <f>9364.6</f>
        <v>9364.6</v>
      </c>
    </row>
    <row r="388" spans="1:18" s="62" customFormat="1" ht="60.75" customHeight="1">
      <c r="A388" s="463"/>
      <c r="B388" s="1064"/>
      <c r="C388" s="1392"/>
      <c r="D388" s="1076" t="s">
        <v>91</v>
      </c>
      <c r="E388" s="1076" t="s">
        <v>51</v>
      </c>
      <c r="F388" s="1292"/>
      <c r="G388" s="1292"/>
      <c r="H388" s="1292"/>
      <c r="I388" s="1292"/>
      <c r="J388" s="1292"/>
      <c r="K388" s="1292"/>
      <c r="L388" s="1064"/>
      <c r="M388" s="1064"/>
      <c r="N388" s="465"/>
      <c r="O388" s="465"/>
      <c r="P388" s="465"/>
      <c r="Q388" s="465"/>
      <c r="R388" s="526"/>
    </row>
    <row r="389" spans="1:18" s="63" customFormat="1" ht="84" customHeight="1">
      <c r="A389" s="1252" t="s">
        <v>1436</v>
      </c>
      <c r="B389" s="112">
        <v>1213</v>
      </c>
      <c r="C389" s="278" t="s">
        <v>313</v>
      </c>
      <c r="D389" s="278" t="s">
        <v>129</v>
      </c>
      <c r="E389" s="278" t="s">
        <v>130</v>
      </c>
      <c r="F389" s="278" t="s">
        <v>314</v>
      </c>
      <c r="G389" s="278" t="s">
        <v>131</v>
      </c>
      <c r="H389" s="278" t="s">
        <v>132</v>
      </c>
      <c r="I389" s="278" t="s">
        <v>635</v>
      </c>
      <c r="J389" s="278" t="s">
        <v>120</v>
      </c>
      <c r="K389" s="278" t="s">
        <v>50</v>
      </c>
      <c r="L389" s="37" t="s">
        <v>28</v>
      </c>
      <c r="M389" s="37" t="s">
        <v>36</v>
      </c>
      <c r="N389" s="74">
        <v>0</v>
      </c>
      <c r="O389" s="549">
        <v>0</v>
      </c>
      <c r="P389" s="74">
        <v>42.594000000000001</v>
      </c>
      <c r="Q389" s="74">
        <v>0</v>
      </c>
      <c r="R389" s="74">
        <v>0</v>
      </c>
    </row>
    <row r="390" spans="1:18" s="63" customFormat="1" ht="96">
      <c r="A390" s="1253"/>
      <c r="B390" s="123"/>
      <c r="C390" s="279" t="s">
        <v>133</v>
      </c>
      <c r="D390" s="279" t="s">
        <v>134</v>
      </c>
      <c r="E390" s="279" t="s">
        <v>135</v>
      </c>
      <c r="F390" s="279" t="s">
        <v>136</v>
      </c>
      <c r="G390" s="279" t="s">
        <v>137</v>
      </c>
      <c r="H390" s="279" t="s">
        <v>138</v>
      </c>
      <c r="I390" s="279"/>
      <c r="J390" s="120"/>
      <c r="K390" s="279"/>
      <c r="L390" s="370"/>
      <c r="M390" s="370"/>
      <c r="N390" s="42"/>
      <c r="O390" s="224"/>
      <c r="P390" s="42"/>
      <c r="Q390" s="42"/>
      <c r="R390" s="42"/>
    </row>
    <row r="391" spans="1:18" s="63" customFormat="1" ht="60">
      <c r="A391" s="1253"/>
      <c r="B391" s="147"/>
      <c r="C391" s="279" t="s">
        <v>43</v>
      </c>
      <c r="D391" s="279" t="s">
        <v>139</v>
      </c>
      <c r="E391" s="279" t="s">
        <v>44</v>
      </c>
      <c r="F391" s="279" t="s">
        <v>140</v>
      </c>
      <c r="G391" s="279" t="s">
        <v>141</v>
      </c>
      <c r="H391" s="279" t="s">
        <v>142</v>
      </c>
      <c r="I391" s="279"/>
      <c r="J391" s="120"/>
      <c r="K391" s="279"/>
      <c r="L391" s="370"/>
      <c r="M391" s="370"/>
      <c r="N391" s="42"/>
      <c r="O391" s="224"/>
      <c r="P391" s="42"/>
      <c r="Q391" s="42"/>
      <c r="R391" s="42"/>
    </row>
    <row r="392" spans="1:18" s="63" customFormat="1" ht="72">
      <c r="A392" s="1229"/>
      <c r="B392" s="123"/>
      <c r="C392" s="307" t="s">
        <v>143</v>
      </c>
      <c r="D392" s="307" t="s">
        <v>144</v>
      </c>
      <c r="E392" s="307" t="s">
        <v>145</v>
      </c>
      <c r="F392" s="1070"/>
      <c r="G392" s="1070"/>
      <c r="H392" s="1070"/>
      <c r="I392" s="308"/>
      <c r="J392" s="308"/>
      <c r="K392" s="308"/>
      <c r="L392" s="1104"/>
      <c r="M392" s="71"/>
      <c r="N392" s="224"/>
      <c r="O392" s="224"/>
      <c r="P392" s="224"/>
      <c r="Q392" s="224"/>
      <c r="R392" s="224"/>
    </row>
    <row r="393" spans="1:18" s="63" customFormat="1" ht="144.75" customHeight="1">
      <c r="A393" s="38" t="s">
        <v>573</v>
      </c>
      <c r="B393" s="1011">
        <v>1219</v>
      </c>
      <c r="C393" s="1039"/>
      <c r="D393" s="1039"/>
      <c r="E393" s="87"/>
      <c r="F393" s="1039"/>
      <c r="G393" s="1039"/>
      <c r="H393" s="1039"/>
      <c r="I393" s="1039"/>
      <c r="J393" s="1039"/>
      <c r="K393" s="1039"/>
      <c r="L393" s="1089" t="s">
        <v>36</v>
      </c>
      <c r="M393" s="1089" t="s">
        <v>30</v>
      </c>
      <c r="N393" s="52">
        <f>SUM(N394:N400)</f>
        <v>350.11099999999999</v>
      </c>
      <c r="O393" s="52">
        <f>SUM(O394:O400)</f>
        <v>350.11099999999999</v>
      </c>
      <c r="P393" s="52">
        <f>SUM(P394:P400)</f>
        <v>322.8</v>
      </c>
      <c r="Q393" s="52">
        <f>SUM(Q394:Q400)</f>
        <v>100.2</v>
      </c>
      <c r="R393" s="52">
        <f>SUM(R394:R400)</f>
        <v>120.2</v>
      </c>
    </row>
    <row r="394" spans="1:18" s="63" customFormat="1" ht="12" customHeight="1">
      <c r="A394" s="647" t="s">
        <v>958</v>
      </c>
      <c r="B394" s="510"/>
      <c r="C394" s="1263" t="s">
        <v>43</v>
      </c>
      <c r="D394" s="1263" t="s">
        <v>146</v>
      </c>
      <c r="E394" s="1378" t="s">
        <v>114</v>
      </c>
      <c r="F394" s="1263" t="s">
        <v>45</v>
      </c>
      <c r="G394" s="1263" t="s">
        <v>46</v>
      </c>
      <c r="H394" s="1263" t="s">
        <v>50</v>
      </c>
      <c r="I394" s="1071"/>
      <c r="J394" s="643"/>
      <c r="K394" s="644"/>
      <c r="L394" s="645"/>
      <c r="M394" s="645"/>
      <c r="N394" s="646"/>
      <c r="O394" s="646"/>
      <c r="P394" s="646"/>
      <c r="Q394" s="646"/>
      <c r="R394" s="646"/>
    </row>
    <row r="395" spans="1:18" s="63" customFormat="1" ht="24">
      <c r="A395" s="326" t="s">
        <v>1152</v>
      </c>
      <c r="B395" s="236"/>
      <c r="C395" s="1208"/>
      <c r="D395" s="1208"/>
      <c r="E395" s="1379"/>
      <c r="F395" s="1208"/>
      <c r="G395" s="1208"/>
      <c r="H395" s="1208"/>
      <c r="I395" s="1208" t="s">
        <v>1520</v>
      </c>
      <c r="J395" s="1296" t="s">
        <v>955</v>
      </c>
      <c r="K395" s="1343" t="s">
        <v>732</v>
      </c>
      <c r="L395" s="236"/>
      <c r="M395" s="236"/>
      <c r="N395" s="214"/>
      <c r="O395" s="214"/>
      <c r="P395" s="214"/>
      <c r="Q395" s="214"/>
      <c r="R395" s="214"/>
    </row>
    <row r="396" spans="1:18" s="63" customFormat="1" ht="46.5" customHeight="1">
      <c r="A396" s="615" t="s">
        <v>1153</v>
      </c>
      <c r="B396" s="236"/>
      <c r="C396" s="1208"/>
      <c r="D396" s="1208"/>
      <c r="E396" s="1379"/>
      <c r="F396" s="1208"/>
      <c r="G396" s="1208"/>
      <c r="H396" s="1208"/>
      <c r="I396" s="1208"/>
      <c r="J396" s="1296"/>
      <c r="K396" s="1343"/>
      <c r="L396" s="236"/>
      <c r="M396" s="236"/>
      <c r="N396" s="214">
        <v>68.59</v>
      </c>
      <c r="O396" s="214">
        <v>68.59</v>
      </c>
      <c r="P396" s="214">
        <v>92.3</v>
      </c>
      <c r="Q396" s="214">
        <v>0</v>
      </c>
      <c r="R396" s="214">
        <v>0</v>
      </c>
    </row>
    <row r="397" spans="1:18" s="63" customFormat="1" ht="12" customHeight="1">
      <c r="A397" s="326" t="s">
        <v>1154</v>
      </c>
      <c r="B397" s="236"/>
      <c r="C397" s="1208"/>
      <c r="D397" s="1208"/>
      <c r="E397" s="1379"/>
      <c r="F397" s="1208"/>
      <c r="G397" s="1208"/>
      <c r="H397" s="1208"/>
      <c r="I397" s="1296" t="s">
        <v>1027</v>
      </c>
      <c r="J397" s="1296" t="s">
        <v>54</v>
      </c>
      <c r="K397" s="1343" t="s">
        <v>731</v>
      </c>
      <c r="L397" s="236"/>
      <c r="M397" s="236"/>
      <c r="N397" s="214"/>
      <c r="O397" s="214"/>
      <c r="P397" s="214"/>
      <c r="Q397" s="214"/>
      <c r="R397" s="214"/>
    </row>
    <row r="398" spans="1:18" s="63" customFormat="1" ht="48.75" customHeight="1">
      <c r="A398" s="615" t="s">
        <v>1155</v>
      </c>
      <c r="B398" s="236"/>
      <c r="C398" s="1208"/>
      <c r="D398" s="1208"/>
      <c r="E398" s="1379"/>
      <c r="F398" s="1208"/>
      <c r="G398" s="1208"/>
      <c r="H398" s="1208"/>
      <c r="I398" s="1296"/>
      <c r="J398" s="1296"/>
      <c r="K398" s="1343"/>
      <c r="L398" s="236"/>
      <c r="M398" s="236"/>
      <c r="N398" s="214">
        <v>115.8</v>
      </c>
      <c r="O398" s="214">
        <v>115.8</v>
      </c>
      <c r="P398" s="214">
        <v>110.3</v>
      </c>
      <c r="Q398" s="214">
        <v>0</v>
      </c>
      <c r="R398" s="214">
        <v>0</v>
      </c>
    </row>
    <row r="399" spans="1:18" s="63" customFormat="1" ht="12">
      <c r="A399" s="326" t="s">
        <v>959</v>
      </c>
      <c r="B399" s="236"/>
      <c r="C399" s="1208"/>
      <c r="D399" s="1208"/>
      <c r="E399" s="1379"/>
      <c r="F399" s="1208"/>
      <c r="G399" s="1208"/>
      <c r="H399" s="1208"/>
      <c r="I399" s="1083"/>
      <c r="J399" s="1083"/>
      <c r="K399" s="1099"/>
      <c r="L399" s="236"/>
      <c r="M399" s="236"/>
      <c r="N399" s="214"/>
      <c r="O399" s="214"/>
      <c r="P399" s="214"/>
      <c r="Q399" s="214"/>
      <c r="R399" s="214"/>
    </row>
    <row r="400" spans="1:18" s="63" customFormat="1" ht="60">
      <c r="A400" s="57"/>
      <c r="B400" s="382"/>
      <c r="C400" s="1264"/>
      <c r="D400" s="1264"/>
      <c r="E400" s="1380"/>
      <c r="F400" s="1264"/>
      <c r="G400" s="1264"/>
      <c r="H400" s="1264"/>
      <c r="I400" s="1024" t="s">
        <v>147</v>
      </c>
      <c r="J400" s="1024" t="s">
        <v>148</v>
      </c>
      <c r="K400" s="1024" t="s">
        <v>47</v>
      </c>
      <c r="L400" s="382"/>
      <c r="M400" s="382"/>
      <c r="N400" s="39">
        <f>69.78+16.15+12.5+67.291</f>
        <v>165.721</v>
      </c>
      <c r="O400" s="559">
        <f>69.78+16.15+12.5+67.291</f>
        <v>165.721</v>
      </c>
      <c r="P400" s="39">
        <f>95.2+5+20</f>
        <v>120.2</v>
      </c>
      <c r="Q400" s="39">
        <v>100.2</v>
      </c>
      <c r="R400" s="39">
        <v>120.2</v>
      </c>
    </row>
    <row r="401" spans="1:18" s="63" customFormat="1" ht="47.25" customHeight="1">
      <c r="A401" s="1285" t="s">
        <v>828</v>
      </c>
      <c r="B401" s="510" t="s">
        <v>829</v>
      </c>
      <c r="C401" s="501"/>
      <c r="D401" s="501"/>
      <c r="E401" s="501"/>
      <c r="F401" s="544"/>
      <c r="G401" s="544"/>
      <c r="H401" s="544"/>
      <c r="I401" s="511"/>
      <c r="J401" s="511"/>
      <c r="K401" s="512"/>
      <c r="L401" s="510" t="s">
        <v>30</v>
      </c>
      <c r="M401" s="510" t="s">
        <v>30</v>
      </c>
      <c r="N401" s="505">
        <f>SUM(N405)</f>
        <v>0</v>
      </c>
      <c r="O401" s="505">
        <f t="shared" ref="O401:R401" si="22">SUM(O405)</f>
        <v>0</v>
      </c>
      <c r="P401" s="505">
        <f t="shared" si="22"/>
        <v>10</v>
      </c>
      <c r="Q401" s="505">
        <f t="shared" si="22"/>
        <v>0</v>
      </c>
      <c r="R401" s="505">
        <f t="shared" si="22"/>
        <v>0</v>
      </c>
    </row>
    <row r="402" spans="1:18" s="63" customFormat="1" ht="72" customHeight="1">
      <c r="A402" s="1286"/>
      <c r="B402" s="382"/>
      <c r="C402" s="390"/>
      <c r="D402" s="390"/>
      <c r="E402" s="390"/>
      <c r="F402" s="1024"/>
      <c r="G402" s="1024"/>
      <c r="H402" s="1024"/>
      <c r="I402" s="1094"/>
      <c r="J402" s="1094"/>
      <c r="K402" s="302"/>
      <c r="L402" s="382"/>
      <c r="M402" s="382"/>
      <c r="N402" s="306"/>
      <c r="O402" s="566"/>
      <c r="P402" s="306"/>
      <c r="Q402" s="306"/>
      <c r="R402" s="306"/>
    </row>
    <row r="403" spans="1:18" s="63" customFormat="1" ht="12" customHeight="1">
      <c r="A403" s="651" t="s">
        <v>1156</v>
      </c>
      <c r="B403" s="419"/>
      <c r="C403" s="1258" t="s">
        <v>43</v>
      </c>
      <c r="D403" s="1258" t="s">
        <v>830</v>
      </c>
      <c r="E403" s="1258" t="s">
        <v>44</v>
      </c>
      <c r="F403" s="616"/>
      <c r="G403" s="616"/>
      <c r="H403" s="616"/>
      <c r="I403" s="1345" t="s">
        <v>1481</v>
      </c>
      <c r="J403" s="1345" t="s">
        <v>54</v>
      </c>
      <c r="K403" s="1344" t="s">
        <v>957</v>
      </c>
      <c r="L403" s="419"/>
      <c r="M403" s="419"/>
      <c r="N403" s="556"/>
      <c r="O403" s="556"/>
      <c r="P403" s="556"/>
      <c r="Q403" s="556"/>
      <c r="R403" s="556"/>
    </row>
    <row r="404" spans="1:18" s="63" customFormat="1" ht="36">
      <c r="A404" s="652" t="s">
        <v>1157</v>
      </c>
      <c r="B404" s="236"/>
      <c r="C404" s="1259"/>
      <c r="D404" s="1259"/>
      <c r="E404" s="1259"/>
      <c r="F404" s="1035"/>
      <c r="G404" s="1035"/>
      <c r="H404" s="1035"/>
      <c r="I404" s="1296"/>
      <c r="J404" s="1296"/>
      <c r="K404" s="1343"/>
      <c r="L404" s="236"/>
      <c r="M404" s="236"/>
      <c r="N404" s="224"/>
      <c r="O404" s="224"/>
      <c r="P404" s="224"/>
      <c r="Q404" s="224"/>
      <c r="R404" s="224"/>
    </row>
    <row r="405" spans="1:18" s="63" customFormat="1" ht="108.75" customHeight="1">
      <c r="A405" s="650" t="s">
        <v>1158</v>
      </c>
      <c r="B405" s="649"/>
      <c r="C405" s="1175"/>
      <c r="D405" s="1175"/>
      <c r="E405" s="1175"/>
      <c r="F405" s="1072"/>
      <c r="G405" s="1072"/>
      <c r="H405" s="1072"/>
      <c r="I405" s="1094" t="s">
        <v>820</v>
      </c>
      <c r="J405" s="1094" t="s">
        <v>54</v>
      </c>
      <c r="K405" s="302" t="s">
        <v>821</v>
      </c>
      <c r="L405" s="649"/>
      <c r="M405" s="649"/>
      <c r="N405" s="559">
        <v>0</v>
      </c>
      <c r="O405" s="559">
        <v>0</v>
      </c>
      <c r="P405" s="559">
        <v>10</v>
      </c>
      <c r="Q405" s="559">
        <v>0</v>
      </c>
      <c r="R405" s="559">
        <v>0</v>
      </c>
    </row>
    <row r="406" spans="1:18" s="63" customFormat="1" ht="110.25" customHeight="1">
      <c r="A406" s="653" t="s">
        <v>697</v>
      </c>
      <c r="B406" s="653">
        <v>1221</v>
      </c>
      <c r="C406" s="654"/>
      <c r="D406" s="654"/>
      <c r="E406" s="655"/>
      <c r="F406" s="654"/>
      <c r="G406" s="654"/>
      <c r="H406" s="655"/>
      <c r="I406" s="654"/>
      <c r="J406" s="654"/>
      <c r="K406" s="654"/>
      <c r="L406" s="656"/>
      <c r="M406" s="656"/>
      <c r="N406" s="657">
        <f>SUM(N407:N415)</f>
        <v>9256.9849999999988</v>
      </c>
      <c r="O406" s="657">
        <f t="shared" ref="O406:R406" si="23">SUM(O407:O415)</f>
        <v>9256.101999999999</v>
      </c>
      <c r="P406" s="657">
        <f t="shared" si="23"/>
        <v>9094.7999999999993</v>
      </c>
      <c r="Q406" s="657">
        <f t="shared" si="23"/>
        <v>7931.33</v>
      </c>
      <c r="R406" s="657">
        <f t="shared" si="23"/>
        <v>8627.6999999999989</v>
      </c>
    </row>
    <row r="407" spans="1:18" s="62" customFormat="1" ht="21" customHeight="1">
      <c r="A407" s="1283" t="s">
        <v>1159</v>
      </c>
      <c r="B407" s="658"/>
      <c r="C407" s="1260" t="s">
        <v>497</v>
      </c>
      <c r="D407" s="1260" t="s">
        <v>498</v>
      </c>
      <c r="E407" s="1373" t="s">
        <v>499</v>
      </c>
      <c r="F407" s="1260" t="s">
        <v>500</v>
      </c>
      <c r="G407" s="1260" t="s">
        <v>501</v>
      </c>
      <c r="H407" s="1373" t="s">
        <v>52</v>
      </c>
      <c r="I407" s="1207" t="s">
        <v>1521</v>
      </c>
      <c r="J407" s="1207" t="s">
        <v>54</v>
      </c>
      <c r="K407" s="1207" t="s">
        <v>731</v>
      </c>
      <c r="L407" s="752" t="s">
        <v>36</v>
      </c>
      <c r="M407" s="752" t="s">
        <v>28</v>
      </c>
      <c r="N407" s="846">
        <v>1589.855</v>
      </c>
      <c r="O407" s="846">
        <v>1589.855</v>
      </c>
      <c r="P407" s="846">
        <v>1375.2</v>
      </c>
      <c r="Q407" s="846">
        <v>1375.2</v>
      </c>
      <c r="R407" s="847">
        <v>1375.2</v>
      </c>
    </row>
    <row r="408" spans="1:18" s="62" customFormat="1" ht="21" customHeight="1">
      <c r="A408" s="1284"/>
      <c r="B408" s="615"/>
      <c r="C408" s="1261"/>
      <c r="D408" s="1261"/>
      <c r="E408" s="1374"/>
      <c r="F408" s="1261"/>
      <c r="G408" s="1261"/>
      <c r="H408" s="1374"/>
      <c r="I408" s="1208"/>
      <c r="J408" s="1208"/>
      <c r="K408" s="1208"/>
      <c r="L408" s="233" t="s">
        <v>36</v>
      </c>
      <c r="M408" s="233" t="s">
        <v>31</v>
      </c>
      <c r="N408" s="214">
        <v>3882.3490000000002</v>
      </c>
      <c r="O408" s="214">
        <v>3881.4659999999999</v>
      </c>
      <c r="P408" s="214">
        <v>3449.7</v>
      </c>
      <c r="Q408" s="214">
        <v>3282.33</v>
      </c>
      <c r="R408" s="848">
        <v>3488.1</v>
      </c>
    </row>
    <row r="409" spans="1:18" s="62" customFormat="1" ht="31.5" customHeight="1">
      <c r="A409" s="1284"/>
      <c r="B409" s="615"/>
      <c r="C409" s="1261"/>
      <c r="D409" s="1261"/>
      <c r="E409" s="1374"/>
      <c r="F409" s="1261"/>
      <c r="G409" s="1261"/>
      <c r="H409" s="1374"/>
      <c r="I409" s="1208"/>
      <c r="J409" s="1208"/>
      <c r="K409" s="1208"/>
      <c r="L409" s="233" t="s">
        <v>36</v>
      </c>
      <c r="M409" s="233" t="s">
        <v>35</v>
      </c>
      <c r="N409" s="214">
        <v>893.29</v>
      </c>
      <c r="O409" s="214">
        <v>893.29</v>
      </c>
      <c r="P409" s="214">
        <v>360</v>
      </c>
      <c r="Q409" s="214">
        <v>360</v>
      </c>
      <c r="R409" s="848">
        <v>360</v>
      </c>
    </row>
    <row r="410" spans="1:18" s="62" customFormat="1" ht="47.25" customHeight="1">
      <c r="A410" s="615"/>
      <c r="B410" s="615"/>
      <c r="C410" s="1261"/>
      <c r="D410" s="1261"/>
      <c r="E410" s="1374"/>
      <c r="F410" s="1261"/>
      <c r="G410" s="1261"/>
      <c r="H410" s="1374"/>
      <c r="I410" s="1083" t="s">
        <v>1027</v>
      </c>
      <c r="J410" s="1083" t="s">
        <v>54</v>
      </c>
      <c r="K410" s="1099" t="s">
        <v>731</v>
      </c>
      <c r="L410" s="233" t="s">
        <v>34</v>
      </c>
      <c r="M410" s="233" t="s">
        <v>28</v>
      </c>
      <c r="N410" s="214">
        <v>1087.963</v>
      </c>
      <c r="O410" s="214">
        <v>1087.963</v>
      </c>
      <c r="P410" s="214">
        <v>1098</v>
      </c>
      <c r="Q410" s="214">
        <v>887</v>
      </c>
      <c r="R410" s="848">
        <v>869</v>
      </c>
    </row>
    <row r="411" spans="1:18" s="62" customFormat="1" ht="34.5" customHeight="1">
      <c r="A411" s="326" t="s">
        <v>1160</v>
      </c>
      <c r="B411" s="615"/>
      <c r="C411" s="1261"/>
      <c r="D411" s="1261"/>
      <c r="E411" s="1374"/>
      <c r="F411" s="1261"/>
      <c r="G411" s="1261"/>
      <c r="H411" s="1374"/>
      <c r="I411" s="1208" t="s">
        <v>706</v>
      </c>
      <c r="J411" s="1208" t="s">
        <v>54</v>
      </c>
      <c r="K411" s="1208" t="s">
        <v>55</v>
      </c>
      <c r="L411" s="233" t="s">
        <v>28</v>
      </c>
      <c r="M411" s="233" t="s">
        <v>32</v>
      </c>
      <c r="N411" s="214">
        <v>847.00300000000004</v>
      </c>
      <c r="O411" s="214">
        <v>847.00300000000004</v>
      </c>
      <c r="P411" s="214">
        <v>936</v>
      </c>
      <c r="Q411" s="214">
        <v>936</v>
      </c>
      <c r="R411" s="848">
        <v>936</v>
      </c>
    </row>
    <row r="412" spans="1:18" s="62" customFormat="1" ht="34.5" customHeight="1">
      <c r="A412" s="615"/>
      <c r="B412" s="615"/>
      <c r="C412" s="1261"/>
      <c r="D412" s="1261"/>
      <c r="E412" s="1374"/>
      <c r="F412" s="1261"/>
      <c r="G412" s="1261"/>
      <c r="H412" s="1374"/>
      <c r="I412" s="1208"/>
      <c r="J412" s="1208"/>
      <c r="K412" s="1208"/>
      <c r="L412" s="233" t="s">
        <v>28</v>
      </c>
      <c r="M412" s="233" t="s">
        <v>29</v>
      </c>
      <c r="N412" s="214">
        <v>416.03500000000003</v>
      </c>
      <c r="O412" s="214">
        <v>416.03500000000003</v>
      </c>
      <c r="P412" s="214">
        <f>160+860</f>
        <v>1020</v>
      </c>
      <c r="Q412" s="214">
        <f>0+462</f>
        <v>462</v>
      </c>
      <c r="R412" s="848">
        <f>160+580</f>
        <v>740</v>
      </c>
    </row>
    <row r="413" spans="1:18" s="62" customFormat="1" ht="34.5" customHeight="1">
      <c r="A413" s="615"/>
      <c r="B413" s="615"/>
      <c r="C413" s="1261"/>
      <c r="D413" s="1261"/>
      <c r="E413" s="1374"/>
      <c r="F413" s="1261"/>
      <c r="G413" s="1261"/>
      <c r="H413" s="1374"/>
      <c r="I413" s="1208"/>
      <c r="J413" s="1208"/>
      <c r="K413" s="1208"/>
      <c r="L413" s="233" t="s">
        <v>28</v>
      </c>
      <c r="M413" s="233" t="s">
        <v>22</v>
      </c>
      <c r="N413" s="214">
        <v>43.113999999999997</v>
      </c>
      <c r="O413" s="214">
        <v>43.113999999999997</v>
      </c>
      <c r="P413" s="214">
        <f>160+126</f>
        <v>286</v>
      </c>
      <c r="Q413" s="214">
        <f>160+94</f>
        <v>254</v>
      </c>
      <c r="R413" s="848">
        <f>160+126</f>
        <v>286</v>
      </c>
    </row>
    <row r="414" spans="1:18" s="62" customFormat="1" ht="34.5" customHeight="1">
      <c r="A414" s="615"/>
      <c r="B414" s="615"/>
      <c r="C414" s="1261"/>
      <c r="D414" s="1261"/>
      <c r="E414" s="1374"/>
      <c r="F414" s="1261"/>
      <c r="G414" s="1261"/>
      <c r="H414" s="1374"/>
      <c r="I414" s="1208"/>
      <c r="J414" s="1208"/>
      <c r="K414" s="1208"/>
      <c r="L414" s="233" t="s">
        <v>36</v>
      </c>
      <c r="M414" s="233" t="s">
        <v>33</v>
      </c>
      <c r="N414" s="214">
        <v>422.81299999999999</v>
      </c>
      <c r="O414" s="214">
        <v>422.81299999999999</v>
      </c>
      <c r="P414" s="214">
        <v>200</v>
      </c>
      <c r="Q414" s="214">
        <v>200</v>
      </c>
      <c r="R414" s="848">
        <v>200</v>
      </c>
    </row>
    <row r="415" spans="1:18" s="62" customFormat="1" ht="18.75" customHeight="1">
      <c r="A415" s="243"/>
      <c r="B415" s="243"/>
      <c r="C415" s="1262"/>
      <c r="D415" s="1262"/>
      <c r="E415" s="1375"/>
      <c r="F415" s="1262"/>
      <c r="G415" s="1262"/>
      <c r="H415" s="1375"/>
      <c r="I415" s="1262"/>
      <c r="J415" s="1262"/>
      <c r="K415" s="1262"/>
      <c r="L415" s="1003" t="s">
        <v>34</v>
      </c>
      <c r="M415" s="1003" t="s">
        <v>32</v>
      </c>
      <c r="N415" s="238">
        <v>74.563000000000002</v>
      </c>
      <c r="O415" s="238">
        <v>74.563000000000002</v>
      </c>
      <c r="P415" s="238">
        <v>369.9</v>
      </c>
      <c r="Q415" s="238">
        <v>174.8</v>
      </c>
      <c r="R415" s="849">
        <v>373.4</v>
      </c>
    </row>
    <row r="416" spans="1:18" s="62" customFormat="1" ht="192.75" customHeight="1">
      <c r="A416" s="379" t="s">
        <v>704</v>
      </c>
      <c r="B416" s="380">
        <v>1224</v>
      </c>
      <c r="C416" s="659"/>
      <c r="D416" s="659"/>
      <c r="E416" s="660"/>
      <c r="F416" s="659"/>
      <c r="G416" s="659"/>
      <c r="H416" s="660"/>
      <c r="I416" s="659"/>
      <c r="J416" s="659"/>
      <c r="K416" s="659"/>
      <c r="L416" s="400" t="s">
        <v>36</v>
      </c>
      <c r="M416" s="400" t="s">
        <v>31</v>
      </c>
      <c r="N416" s="381">
        <f>SUM(N419:N420)</f>
        <v>23197</v>
      </c>
      <c r="O416" s="381">
        <f>SUM(O419:O420)</f>
        <v>22237.290999999997</v>
      </c>
      <c r="P416" s="381">
        <f>SUM(P419:P420)</f>
        <v>25444.04</v>
      </c>
      <c r="Q416" s="381">
        <f>SUM(Q419:Q420)</f>
        <v>24753</v>
      </c>
      <c r="R416" s="381">
        <f>SUM(R419:R420)</f>
        <v>24347.010000000002</v>
      </c>
    </row>
    <row r="417" spans="1:18" s="62" customFormat="1" ht="29.25" customHeight="1">
      <c r="A417" s="665" t="s">
        <v>1161</v>
      </c>
      <c r="B417" s="662"/>
      <c r="C417" s="1033"/>
      <c r="D417" s="1033"/>
      <c r="E417" s="1037"/>
      <c r="F417" s="1033"/>
      <c r="G417" s="1033"/>
      <c r="H417" s="1037"/>
      <c r="I417" s="1204" t="s">
        <v>1521</v>
      </c>
      <c r="J417" s="1204" t="s">
        <v>54</v>
      </c>
      <c r="K417" s="1204" t="s">
        <v>731</v>
      </c>
      <c r="L417" s="663"/>
      <c r="M417" s="663"/>
      <c r="N417" s="664"/>
      <c r="O417" s="664"/>
      <c r="P417" s="664"/>
      <c r="Q417" s="664"/>
      <c r="R417" s="664"/>
    </row>
    <row r="418" spans="1:18" s="62" customFormat="1" ht="43.5" customHeight="1">
      <c r="A418" s="583" t="s">
        <v>1162</v>
      </c>
      <c r="B418" s="435"/>
      <c r="C418" s="1019"/>
      <c r="D418" s="1019"/>
      <c r="E418" s="1021"/>
      <c r="F418" s="1019"/>
      <c r="G418" s="1019"/>
      <c r="H418" s="1021"/>
      <c r="I418" s="1224"/>
      <c r="J418" s="1224"/>
      <c r="K418" s="1224"/>
      <c r="L418" s="399"/>
      <c r="M418" s="399"/>
      <c r="N418" s="219"/>
      <c r="O418" s="219"/>
      <c r="P418" s="219"/>
      <c r="Q418" s="219"/>
      <c r="R418" s="219"/>
    </row>
    <row r="419" spans="1:18" s="62" customFormat="1" ht="108.75" customHeight="1">
      <c r="A419" s="228" t="s">
        <v>1163</v>
      </c>
      <c r="B419" s="513" t="s">
        <v>633</v>
      </c>
      <c r="C419" s="1189"/>
      <c r="D419" s="1189"/>
      <c r="E419" s="1191"/>
      <c r="F419" s="1189" t="s">
        <v>733</v>
      </c>
      <c r="G419" s="1189" t="s">
        <v>749</v>
      </c>
      <c r="H419" s="1191" t="s">
        <v>615</v>
      </c>
      <c r="I419" s="1189" t="s">
        <v>888</v>
      </c>
      <c r="J419" s="1189" t="s">
        <v>54</v>
      </c>
      <c r="K419" s="1189" t="s">
        <v>850</v>
      </c>
      <c r="L419" s="229"/>
      <c r="M419" s="229"/>
      <c r="N419" s="220">
        <v>20181.39</v>
      </c>
      <c r="O419" s="220">
        <v>19346.441999999999</v>
      </c>
      <c r="P419" s="220">
        <v>22136.31</v>
      </c>
      <c r="Q419" s="220">
        <v>22772.76</v>
      </c>
      <c r="R419" s="220">
        <v>22155.79</v>
      </c>
    </row>
    <row r="420" spans="1:18" s="62" customFormat="1" ht="95.25" customHeight="1">
      <c r="A420" s="228"/>
      <c r="B420" s="229" t="s">
        <v>634</v>
      </c>
      <c r="C420" s="1189"/>
      <c r="D420" s="1189"/>
      <c r="E420" s="1191"/>
      <c r="F420" s="1189"/>
      <c r="G420" s="1189"/>
      <c r="H420" s="1191"/>
      <c r="I420" s="1189"/>
      <c r="J420" s="1189"/>
      <c r="K420" s="1189"/>
      <c r="L420" s="229"/>
      <c r="M420" s="229"/>
      <c r="N420" s="220">
        <v>3015.61</v>
      </c>
      <c r="O420" s="220">
        <v>2890.8490000000002</v>
      </c>
      <c r="P420" s="220">
        <v>3307.73</v>
      </c>
      <c r="Q420" s="220">
        <v>1980.24</v>
      </c>
      <c r="R420" s="220">
        <v>2191.2199999999998</v>
      </c>
    </row>
    <row r="421" spans="1:18" s="63" customFormat="1" ht="73.5" customHeight="1">
      <c r="A421" s="514" t="s">
        <v>1540</v>
      </c>
      <c r="B421" s="507">
        <v>1226</v>
      </c>
      <c r="C421" s="515"/>
      <c r="D421" s="515"/>
      <c r="E421" s="516"/>
      <c r="F421" s="506"/>
      <c r="G421" s="506"/>
      <c r="H421" s="506"/>
      <c r="I421" s="517"/>
      <c r="J421" s="517"/>
      <c r="K421" s="518"/>
      <c r="L421" s="507" t="s">
        <v>28</v>
      </c>
      <c r="M421" s="507" t="s">
        <v>22</v>
      </c>
      <c r="N421" s="508">
        <f>SUM(N422:N425)</f>
        <v>910</v>
      </c>
      <c r="O421" s="508">
        <f>SUM(O422:O425)</f>
        <v>910</v>
      </c>
      <c r="P421" s="508">
        <f>SUM(P422:P425)</f>
        <v>910</v>
      </c>
      <c r="Q421" s="508">
        <f>SUM(Q422:Q425)</f>
        <v>0</v>
      </c>
      <c r="R421" s="508">
        <f>SUM(R422:R425)</f>
        <v>0</v>
      </c>
    </row>
    <row r="422" spans="1:18" s="63" customFormat="1" ht="12" customHeight="1">
      <c r="A422" s="667" t="s">
        <v>1541</v>
      </c>
      <c r="B422" s="662"/>
      <c r="C422" s="1203" t="s">
        <v>43</v>
      </c>
      <c r="D422" s="1203" t="s">
        <v>827</v>
      </c>
      <c r="E422" s="1211" t="s">
        <v>114</v>
      </c>
      <c r="F422" s="661"/>
      <c r="G422" s="661"/>
      <c r="H422" s="661"/>
      <c r="I422" s="1203" t="s">
        <v>1520</v>
      </c>
      <c r="J422" s="1204" t="s">
        <v>946</v>
      </c>
      <c r="K422" s="1205" t="s">
        <v>732</v>
      </c>
      <c r="L422" s="662"/>
      <c r="M422" s="662"/>
      <c r="N422" s="668">
        <v>910</v>
      </c>
      <c r="O422" s="668">
        <v>910</v>
      </c>
      <c r="P422" s="668">
        <v>910</v>
      </c>
      <c r="Q422" s="668">
        <v>0</v>
      </c>
      <c r="R422" s="668">
        <v>0</v>
      </c>
    </row>
    <row r="423" spans="1:18" s="63" customFormat="1" ht="24">
      <c r="A423" s="666" t="s">
        <v>1542</v>
      </c>
      <c r="B423" s="435"/>
      <c r="C423" s="1189"/>
      <c r="D423" s="1189"/>
      <c r="E423" s="1191"/>
      <c r="F423" s="289"/>
      <c r="G423" s="289"/>
      <c r="H423" s="289"/>
      <c r="I423" s="1189"/>
      <c r="J423" s="1198"/>
      <c r="K423" s="1206"/>
      <c r="L423" s="435"/>
      <c r="M423" s="435"/>
      <c r="N423" s="220"/>
      <c r="O423" s="220"/>
      <c r="P423" s="220"/>
      <c r="Q423" s="220"/>
      <c r="R423" s="220"/>
    </row>
    <row r="424" spans="1:18" s="63" customFormat="1" ht="36.75" customHeight="1">
      <c r="A424" s="1265" t="s">
        <v>1543</v>
      </c>
      <c r="B424" s="435"/>
      <c r="C424" s="1189"/>
      <c r="D424" s="1189"/>
      <c r="E424" s="1191"/>
      <c r="F424" s="289"/>
      <c r="G424" s="289"/>
      <c r="H424" s="289"/>
      <c r="I424" s="1189"/>
      <c r="J424" s="1198"/>
      <c r="K424" s="1206"/>
      <c r="L424" s="435"/>
      <c r="M424" s="435"/>
      <c r="N424" s="220"/>
      <c r="O424" s="220"/>
      <c r="P424" s="220"/>
      <c r="Q424" s="220"/>
      <c r="R424" s="220"/>
    </row>
    <row r="425" spans="1:18" s="918" customFormat="1" ht="72.75" customHeight="1">
      <c r="A425" s="1265"/>
      <c r="B425" s="915"/>
      <c r="C425" s="1189"/>
      <c r="D425" s="1189"/>
      <c r="E425" s="1191"/>
      <c r="F425" s="916"/>
      <c r="G425" s="916"/>
      <c r="H425" s="916"/>
      <c r="I425" s="1105" t="s">
        <v>768</v>
      </c>
      <c r="J425" s="1105" t="s">
        <v>54</v>
      </c>
      <c r="K425" s="919" t="s">
        <v>47</v>
      </c>
      <c r="L425" s="915"/>
      <c r="M425" s="915"/>
      <c r="N425" s="917"/>
      <c r="O425" s="917"/>
      <c r="P425" s="917"/>
      <c r="Q425" s="917"/>
      <c r="R425" s="917"/>
    </row>
    <row r="426" spans="1:18" s="63" customFormat="1" ht="36" customHeight="1">
      <c r="A426" s="18" t="s">
        <v>1544</v>
      </c>
      <c r="B426" s="19">
        <v>1227</v>
      </c>
      <c r="C426" s="9"/>
      <c r="D426" s="9"/>
      <c r="E426" s="9"/>
      <c r="F426" s="9"/>
      <c r="G426" s="9"/>
      <c r="H426" s="9"/>
      <c r="I426" s="9"/>
      <c r="J426" s="9"/>
      <c r="K426" s="9"/>
      <c r="L426" s="19" t="s">
        <v>28</v>
      </c>
      <c r="M426" s="19" t="s">
        <v>22</v>
      </c>
      <c r="N426" s="105">
        <f t="shared" ref="N426:R426" si="24">SUM(N428:N430)</f>
        <v>102.205</v>
      </c>
      <c r="O426" s="105">
        <f t="shared" si="24"/>
        <v>87.204999999999998</v>
      </c>
      <c r="P426" s="105">
        <f t="shared" si="24"/>
        <v>113.29899999999999</v>
      </c>
      <c r="Q426" s="105">
        <f t="shared" si="24"/>
        <v>119.04599999999999</v>
      </c>
      <c r="R426" s="105">
        <f t="shared" si="24"/>
        <v>124.79299999999999</v>
      </c>
    </row>
    <row r="427" spans="1:18" s="63" customFormat="1" ht="12">
      <c r="A427" s="18" t="s">
        <v>76</v>
      </c>
      <c r="B427" s="19"/>
      <c r="C427" s="9"/>
      <c r="D427" s="9"/>
      <c r="E427" s="9"/>
      <c r="F427" s="9"/>
      <c r="G427" s="9"/>
      <c r="H427" s="9"/>
      <c r="I427" s="9"/>
      <c r="J427" s="9"/>
      <c r="K427" s="9"/>
      <c r="L427" s="802"/>
      <c r="M427" s="802"/>
      <c r="N427" s="179"/>
      <c r="O427" s="565"/>
      <c r="P427" s="76"/>
      <c r="Q427" s="76"/>
      <c r="R427" s="76"/>
    </row>
    <row r="428" spans="1:18" s="63" customFormat="1" ht="36" customHeight="1">
      <c r="A428" s="621" t="s">
        <v>1545</v>
      </c>
      <c r="B428" s="802"/>
      <c r="C428" s="1040" t="s">
        <v>43</v>
      </c>
      <c r="D428" s="1040" t="s">
        <v>161</v>
      </c>
      <c r="E428" s="1040" t="s">
        <v>44</v>
      </c>
      <c r="F428" s="1040"/>
      <c r="G428" s="1040"/>
      <c r="H428" s="1040"/>
      <c r="I428" s="1040" t="s">
        <v>362</v>
      </c>
      <c r="J428" s="1040" t="s">
        <v>162</v>
      </c>
      <c r="K428" s="1040" t="s">
        <v>95</v>
      </c>
      <c r="L428" s="802"/>
      <c r="M428" s="802"/>
      <c r="N428" s="8">
        <v>87.204999999999998</v>
      </c>
      <c r="O428" s="519">
        <v>87.204999999999998</v>
      </c>
      <c r="P428" s="8">
        <f>97.699+0.6</f>
        <v>98.298999999999992</v>
      </c>
      <c r="Q428" s="8">
        <f>103.446+0.6</f>
        <v>104.04599999999999</v>
      </c>
      <c r="R428" s="8">
        <f>109.193+0.6</f>
        <v>109.79299999999999</v>
      </c>
    </row>
    <row r="429" spans="1:18" s="63" customFormat="1" ht="39.75" hidden="1" customHeight="1">
      <c r="A429" s="31"/>
      <c r="B429" s="374"/>
      <c r="C429" s="1025"/>
      <c r="D429" s="1025"/>
      <c r="E429" s="1025"/>
      <c r="F429" s="1025"/>
      <c r="G429" s="1025"/>
      <c r="H429" s="1025"/>
      <c r="I429" s="1025" t="s">
        <v>163</v>
      </c>
      <c r="J429" s="1025" t="s">
        <v>164</v>
      </c>
      <c r="K429" s="1025" t="s">
        <v>165</v>
      </c>
      <c r="L429" s="374"/>
      <c r="M429" s="374"/>
      <c r="N429" s="175">
        <v>0</v>
      </c>
      <c r="O429" s="213"/>
      <c r="P429" s="78">
        <v>0</v>
      </c>
      <c r="Q429" s="78">
        <v>0</v>
      </c>
      <c r="R429" s="78">
        <v>0</v>
      </c>
    </row>
    <row r="430" spans="1:18" s="63" customFormat="1" ht="47.25" customHeight="1">
      <c r="A430" s="31"/>
      <c r="B430" s="374"/>
      <c r="C430" s="1025"/>
      <c r="D430" s="1025"/>
      <c r="E430" s="1025"/>
      <c r="F430" s="162"/>
      <c r="G430" s="44"/>
      <c r="H430" s="44"/>
      <c r="I430" s="1025" t="s">
        <v>722</v>
      </c>
      <c r="J430" s="1025" t="s">
        <v>166</v>
      </c>
      <c r="K430" s="1025" t="s">
        <v>167</v>
      </c>
      <c r="L430" s="374"/>
      <c r="M430" s="374"/>
      <c r="N430" s="850">
        <v>15</v>
      </c>
      <c r="O430" s="220">
        <v>0</v>
      </c>
      <c r="P430" s="850">
        <v>15</v>
      </c>
      <c r="Q430" s="850">
        <v>15</v>
      </c>
      <c r="R430" s="850">
        <v>15</v>
      </c>
    </row>
    <row r="431" spans="1:18" s="63" customFormat="1" ht="58.5" customHeight="1">
      <c r="A431" s="1287" t="s">
        <v>1546</v>
      </c>
      <c r="B431" s="802">
        <v>1228</v>
      </c>
      <c r="C431" s="1040" t="s">
        <v>43</v>
      </c>
      <c r="D431" s="1040" t="s">
        <v>316</v>
      </c>
      <c r="E431" s="303" t="s">
        <v>114</v>
      </c>
      <c r="F431" s="16" t="s">
        <v>27</v>
      </c>
      <c r="G431" s="16" t="s">
        <v>27</v>
      </c>
      <c r="H431" s="16" t="s">
        <v>27</v>
      </c>
      <c r="I431" s="293" t="s">
        <v>330</v>
      </c>
      <c r="J431" s="293" t="s">
        <v>54</v>
      </c>
      <c r="K431" s="293" t="s">
        <v>149</v>
      </c>
      <c r="L431" s="802" t="s">
        <v>28</v>
      </c>
      <c r="M431" s="802" t="s">
        <v>20</v>
      </c>
      <c r="N431" s="17">
        <v>312.10000000000002</v>
      </c>
      <c r="O431" s="555">
        <v>0</v>
      </c>
      <c r="P431" s="17">
        <v>773.5</v>
      </c>
      <c r="Q431" s="17">
        <v>0</v>
      </c>
      <c r="R431" s="17">
        <v>0</v>
      </c>
    </row>
    <row r="432" spans="1:18" s="63" customFormat="1" ht="73.5" customHeight="1">
      <c r="A432" s="1267"/>
      <c r="B432" s="187"/>
      <c r="C432" s="363"/>
      <c r="D432" s="363"/>
      <c r="E432" s="292"/>
      <c r="F432" s="186"/>
      <c r="G432" s="186"/>
      <c r="H432" s="186"/>
      <c r="I432" s="294" t="s">
        <v>723</v>
      </c>
      <c r="J432" s="294" t="s">
        <v>54</v>
      </c>
      <c r="K432" s="196" t="s">
        <v>149</v>
      </c>
      <c r="L432" s="187"/>
      <c r="M432" s="187"/>
      <c r="N432" s="195"/>
      <c r="O432" s="554"/>
      <c r="P432" s="195"/>
      <c r="Q432" s="195"/>
      <c r="R432" s="195"/>
    </row>
    <row r="433" spans="1:18" s="63" customFormat="1" ht="84" customHeight="1">
      <c r="A433" s="16" t="s">
        <v>698</v>
      </c>
      <c r="B433" s="802">
        <v>1300</v>
      </c>
      <c r="C433" s="802" t="s">
        <v>25</v>
      </c>
      <c r="D433" s="802" t="s">
        <v>25</v>
      </c>
      <c r="E433" s="802" t="s">
        <v>25</v>
      </c>
      <c r="F433" s="802" t="s">
        <v>25</v>
      </c>
      <c r="G433" s="802" t="s">
        <v>25</v>
      </c>
      <c r="H433" s="802" t="s">
        <v>25</v>
      </c>
      <c r="I433" s="802" t="s">
        <v>25</v>
      </c>
      <c r="J433" s="802" t="s">
        <v>25</v>
      </c>
      <c r="K433" s="802" t="s">
        <v>25</v>
      </c>
      <c r="L433" s="802"/>
      <c r="M433" s="802"/>
      <c r="N433" s="17">
        <f>N434+N441+N454</f>
        <v>4545.9960000000001</v>
      </c>
      <c r="O433" s="17">
        <f>O434+O441+O454</f>
        <v>4536.43</v>
      </c>
      <c r="P433" s="17">
        <f>P434+P441+P454</f>
        <v>4115</v>
      </c>
      <c r="Q433" s="17">
        <f>Q434+Q441+Q454</f>
        <v>1550.2</v>
      </c>
      <c r="R433" s="17">
        <f>R434+R441+R454</f>
        <v>1563.3000000000002</v>
      </c>
    </row>
    <row r="434" spans="1:18" s="63" customFormat="1" ht="48" customHeight="1">
      <c r="A434" s="16" t="s">
        <v>699</v>
      </c>
      <c r="B434" s="802">
        <v>1301</v>
      </c>
      <c r="C434" s="802" t="s">
        <v>25</v>
      </c>
      <c r="D434" s="802" t="s">
        <v>25</v>
      </c>
      <c r="E434" s="802" t="s">
        <v>25</v>
      </c>
      <c r="F434" s="802" t="s">
        <v>25</v>
      </c>
      <c r="G434" s="802" t="s">
        <v>25</v>
      </c>
      <c r="H434" s="802" t="s">
        <v>25</v>
      </c>
      <c r="I434" s="802" t="s">
        <v>25</v>
      </c>
      <c r="J434" s="802" t="s">
        <v>25</v>
      </c>
      <c r="K434" s="802" t="s">
        <v>25</v>
      </c>
      <c r="L434" s="802"/>
      <c r="M434" s="802"/>
      <c r="N434" s="17">
        <f t="shared" ref="N434:R434" si="25">N435</f>
        <v>424</v>
      </c>
      <c r="O434" s="17">
        <f t="shared" si="25"/>
        <v>424</v>
      </c>
      <c r="P434" s="17">
        <f t="shared" si="25"/>
        <v>114.9</v>
      </c>
      <c r="Q434" s="17">
        <f t="shared" si="25"/>
        <v>118.3</v>
      </c>
      <c r="R434" s="17">
        <f t="shared" si="25"/>
        <v>131.4</v>
      </c>
    </row>
    <row r="435" spans="1:18" s="63" customFormat="1" ht="12" customHeight="1">
      <c r="A435" s="18" t="s">
        <v>39</v>
      </c>
      <c r="B435" s="19">
        <v>1307</v>
      </c>
      <c r="C435" s="18" t="s">
        <v>27</v>
      </c>
      <c r="D435" s="18" t="s">
        <v>27</v>
      </c>
      <c r="E435" s="18" t="s">
        <v>27</v>
      </c>
      <c r="F435" s="18" t="s">
        <v>27</v>
      </c>
      <c r="G435" s="18" t="s">
        <v>27</v>
      </c>
      <c r="H435" s="18" t="s">
        <v>27</v>
      </c>
      <c r="I435" s="18" t="s">
        <v>27</v>
      </c>
      <c r="J435" s="18" t="s">
        <v>27</v>
      </c>
      <c r="K435" s="18" t="s">
        <v>27</v>
      </c>
      <c r="L435" s="19" t="s">
        <v>32</v>
      </c>
      <c r="M435" s="19" t="s">
        <v>21</v>
      </c>
      <c r="N435" s="105">
        <f>SUM(N436:N440)</f>
        <v>424</v>
      </c>
      <c r="O435" s="105">
        <f>SUM(O436:O440)</f>
        <v>424</v>
      </c>
      <c r="P435" s="105">
        <f>SUM(P436:P440)</f>
        <v>114.9</v>
      </c>
      <c r="Q435" s="105">
        <f>SUM(Q436:Q440)</f>
        <v>118.3</v>
      </c>
      <c r="R435" s="105">
        <f>SUM(R436:R440)</f>
        <v>131.4</v>
      </c>
    </row>
    <row r="436" spans="1:18" s="62" customFormat="1" ht="24">
      <c r="A436" s="638" t="s">
        <v>1012</v>
      </c>
      <c r="B436" s="436"/>
      <c r="C436" s="1203" t="s">
        <v>43</v>
      </c>
      <c r="D436" s="1203" t="s">
        <v>319</v>
      </c>
      <c r="E436" s="1211" t="s">
        <v>114</v>
      </c>
      <c r="F436" s="1212" t="s">
        <v>671</v>
      </c>
      <c r="G436" s="1212" t="s">
        <v>672</v>
      </c>
      <c r="H436" s="1212" t="s">
        <v>615</v>
      </c>
      <c r="I436" s="1209" t="s">
        <v>876</v>
      </c>
      <c r="J436" s="1036" t="s">
        <v>54</v>
      </c>
      <c r="K436" s="1036" t="s">
        <v>731</v>
      </c>
      <c r="L436" s="1029"/>
      <c r="M436" s="1029"/>
      <c r="N436" s="65">
        <v>21.2</v>
      </c>
      <c r="O436" s="216">
        <v>21.2</v>
      </c>
      <c r="P436" s="65">
        <v>114.9</v>
      </c>
      <c r="Q436" s="225">
        <v>118.3</v>
      </c>
      <c r="R436" s="851">
        <v>131.4</v>
      </c>
    </row>
    <row r="437" spans="1:18" s="62" customFormat="1" ht="36.75" customHeight="1">
      <c r="A437" s="583" t="s">
        <v>1164</v>
      </c>
      <c r="B437" s="229"/>
      <c r="C437" s="1189"/>
      <c r="D437" s="1189"/>
      <c r="E437" s="1191"/>
      <c r="F437" s="1213"/>
      <c r="G437" s="1213"/>
      <c r="H437" s="1213"/>
      <c r="I437" s="1210"/>
      <c r="J437" s="1036"/>
      <c r="K437" s="1036"/>
      <c r="L437" s="1038"/>
      <c r="M437" s="1038"/>
      <c r="N437" s="225"/>
      <c r="O437" s="225"/>
      <c r="P437" s="225"/>
      <c r="Q437" s="225"/>
      <c r="R437" s="216"/>
    </row>
    <row r="438" spans="1:18" s="62" customFormat="1" ht="60">
      <c r="A438" s="22" t="s">
        <v>1165</v>
      </c>
      <c r="B438" s="436"/>
      <c r="C438" s="1189"/>
      <c r="D438" s="1189"/>
      <c r="E438" s="1191"/>
      <c r="F438" s="1213"/>
      <c r="G438" s="1213"/>
      <c r="H438" s="1213"/>
      <c r="I438" s="434" t="s">
        <v>387</v>
      </c>
      <c r="J438" s="434" t="s">
        <v>54</v>
      </c>
      <c r="K438" s="434" t="s">
        <v>365</v>
      </c>
      <c r="L438" s="1029"/>
      <c r="M438" s="1029"/>
      <c r="N438" s="181"/>
      <c r="O438" s="225"/>
      <c r="P438" s="67"/>
      <c r="Q438" s="225"/>
      <c r="R438" s="216"/>
    </row>
    <row r="439" spans="1:18" s="62" customFormat="1" ht="48" hidden="1">
      <c r="A439" s="22"/>
      <c r="B439" s="229" t="s">
        <v>798</v>
      </c>
      <c r="C439" s="1189"/>
      <c r="D439" s="1189"/>
      <c r="E439" s="1191"/>
      <c r="F439" s="1213"/>
      <c r="G439" s="1213"/>
      <c r="H439" s="1213"/>
      <c r="I439" s="434" t="s">
        <v>70</v>
      </c>
      <c r="J439" s="434" t="s">
        <v>54</v>
      </c>
      <c r="K439" s="434" t="s">
        <v>57</v>
      </c>
      <c r="L439" s="1029"/>
      <c r="M439" s="1029"/>
      <c r="N439" s="225">
        <v>0</v>
      </c>
      <c r="O439" s="225"/>
      <c r="P439" s="225">
        <v>0</v>
      </c>
      <c r="Q439" s="216">
        <v>0</v>
      </c>
      <c r="R439" s="216">
        <v>0</v>
      </c>
    </row>
    <row r="440" spans="1:18" s="62" customFormat="1" ht="48" customHeight="1">
      <c r="A440" s="228"/>
      <c r="B440" s="436" t="s">
        <v>936</v>
      </c>
      <c r="C440" s="1189"/>
      <c r="D440" s="1189"/>
      <c r="E440" s="1191"/>
      <c r="F440" s="1213"/>
      <c r="G440" s="1213"/>
      <c r="H440" s="1213"/>
      <c r="I440" s="434" t="s">
        <v>810</v>
      </c>
      <c r="J440" s="434" t="s">
        <v>54</v>
      </c>
      <c r="K440" s="434" t="s">
        <v>327</v>
      </c>
      <c r="L440" s="1038"/>
      <c r="M440" s="1038"/>
      <c r="N440" s="65">
        <v>402.8</v>
      </c>
      <c r="O440" s="216">
        <v>402.8</v>
      </c>
      <c r="P440" s="65">
        <v>0</v>
      </c>
      <c r="Q440" s="65">
        <v>0</v>
      </c>
      <c r="R440" s="65">
        <v>0</v>
      </c>
    </row>
    <row r="441" spans="1:18" s="63" customFormat="1" ht="72" customHeight="1">
      <c r="A441" s="16" t="s">
        <v>454</v>
      </c>
      <c r="B441" s="802">
        <v>1500</v>
      </c>
      <c r="C441" s="802" t="s">
        <v>25</v>
      </c>
      <c r="D441" s="802" t="s">
        <v>25</v>
      </c>
      <c r="E441" s="802" t="s">
        <v>25</v>
      </c>
      <c r="F441" s="802" t="s">
        <v>25</v>
      </c>
      <c r="G441" s="802" t="s">
        <v>25</v>
      </c>
      <c r="H441" s="802" t="s">
        <v>25</v>
      </c>
      <c r="I441" s="802" t="s">
        <v>25</v>
      </c>
      <c r="J441" s="802" t="s">
        <v>25</v>
      </c>
      <c r="K441" s="802" t="s">
        <v>25</v>
      </c>
      <c r="L441" s="802"/>
      <c r="M441" s="802"/>
      <c r="N441" s="17">
        <f t="shared" ref="N441:R441" si="26">N442</f>
        <v>3895.8300000000004</v>
      </c>
      <c r="O441" s="17">
        <f t="shared" si="26"/>
        <v>3886.2640000000001</v>
      </c>
      <c r="P441" s="17">
        <f t="shared" si="26"/>
        <v>3762.1</v>
      </c>
      <c r="Q441" s="17">
        <f t="shared" si="26"/>
        <v>1205.7</v>
      </c>
      <c r="R441" s="17">
        <f t="shared" si="26"/>
        <v>1205.7</v>
      </c>
    </row>
    <row r="442" spans="1:18" s="63" customFormat="1" ht="36">
      <c r="A442" s="16" t="s">
        <v>455</v>
      </c>
      <c r="B442" s="802">
        <v>1503</v>
      </c>
      <c r="C442" s="16" t="s">
        <v>27</v>
      </c>
      <c r="D442" s="16" t="s">
        <v>27</v>
      </c>
      <c r="E442" s="16" t="s">
        <v>27</v>
      </c>
      <c r="F442" s="16" t="s">
        <v>27</v>
      </c>
      <c r="G442" s="16" t="s">
        <v>27</v>
      </c>
      <c r="H442" s="16" t="s">
        <v>27</v>
      </c>
      <c r="I442" s="16" t="s">
        <v>27</v>
      </c>
      <c r="J442" s="16" t="s">
        <v>27</v>
      </c>
      <c r="K442" s="16" t="s">
        <v>27</v>
      </c>
      <c r="L442" s="802"/>
      <c r="M442" s="802"/>
      <c r="N442" s="17">
        <f>SUM(N443:N453)</f>
        <v>3895.8300000000004</v>
      </c>
      <c r="O442" s="17">
        <f>SUM(O443:O453)</f>
        <v>3886.2640000000001</v>
      </c>
      <c r="P442" s="17">
        <f>SUM(P443:P453)</f>
        <v>3762.1</v>
      </c>
      <c r="Q442" s="17">
        <f>SUM(Q443:Q453)</f>
        <v>1205.7</v>
      </c>
      <c r="R442" s="17">
        <f>SUM(R443:R453)</f>
        <v>1205.7</v>
      </c>
    </row>
    <row r="443" spans="1:18" s="63" customFormat="1" ht="13.5" customHeight="1">
      <c r="A443" s="642" t="s">
        <v>1013</v>
      </c>
      <c r="B443" s="521"/>
      <c r="C443" s="1060"/>
      <c r="D443" s="1060"/>
      <c r="E443" s="543"/>
      <c r="F443" s="520"/>
      <c r="G443" s="1060"/>
      <c r="H443" s="543"/>
      <c r="I443" s="922"/>
      <c r="J443" s="1049"/>
      <c r="K443" s="1049"/>
      <c r="L443" s="669"/>
      <c r="M443" s="669"/>
      <c r="N443" s="668"/>
      <c r="O443" s="668"/>
      <c r="P443" s="668"/>
      <c r="Q443" s="668"/>
      <c r="R443" s="668"/>
    </row>
    <row r="444" spans="1:18" s="63" customFormat="1" ht="48">
      <c r="A444" s="583" t="s">
        <v>1166</v>
      </c>
      <c r="B444" s="229"/>
      <c r="C444" s="1019"/>
      <c r="D444" s="1019"/>
      <c r="E444" s="1021"/>
      <c r="F444" s="256"/>
      <c r="G444" s="1019"/>
      <c r="H444" s="1021"/>
      <c r="I444" s="873" t="s">
        <v>1403</v>
      </c>
      <c r="J444" s="1027" t="s">
        <v>54</v>
      </c>
      <c r="K444" s="1027" t="s">
        <v>1391</v>
      </c>
      <c r="L444" s="229"/>
      <c r="M444" s="229"/>
      <c r="N444" s="220"/>
      <c r="O444" s="220"/>
      <c r="P444" s="220"/>
      <c r="Q444" s="220"/>
      <c r="R444" s="220"/>
    </row>
    <row r="445" spans="1:18" s="63" customFormat="1" ht="156" customHeight="1">
      <c r="A445" s="228" t="s">
        <v>1167</v>
      </c>
      <c r="B445" s="229"/>
      <c r="C445" s="1019" t="s">
        <v>43</v>
      </c>
      <c r="D445" s="1019" t="s">
        <v>317</v>
      </c>
      <c r="E445" s="1021" t="s">
        <v>114</v>
      </c>
      <c r="F445" s="1376" t="s">
        <v>750</v>
      </c>
      <c r="G445" s="1019" t="s">
        <v>68</v>
      </c>
      <c r="H445" s="1021" t="s">
        <v>751</v>
      </c>
      <c r="I445" s="873" t="s">
        <v>1489</v>
      </c>
      <c r="J445" s="1027" t="s">
        <v>54</v>
      </c>
      <c r="K445" s="1027" t="s">
        <v>1490</v>
      </c>
      <c r="L445" s="229" t="s">
        <v>19</v>
      </c>
      <c r="M445" s="229" t="s">
        <v>35</v>
      </c>
      <c r="N445" s="220">
        <v>600</v>
      </c>
      <c r="O445" s="220">
        <v>600</v>
      </c>
      <c r="P445" s="220">
        <v>300</v>
      </c>
      <c r="Q445" s="220">
        <v>600</v>
      </c>
      <c r="R445" s="220">
        <v>600</v>
      </c>
    </row>
    <row r="446" spans="1:18" s="63" customFormat="1" ht="156.75" customHeight="1">
      <c r="A446" s="228"/>
      <c r="B446" s="229" t="s">
        <v>1437</v>
      </c>
      <c r="C446" s="1019"/>
      <c r="D446" s="1019"/>
      <c r="E446" s="1021"/>
      <c r="F446" s="1376"/>
      <c r="G446" s="1019"/>
      <c r="H446" s="1021"/>
      <c r="I446" s="873" t="s">
        <v>892</v>
      </c>
      <c r="J446" s="1027" t="s">
        <v>54</v>
      </c>
      <c r="K446" s="1027" t="s">
        <v>366</v>
      </c>
      <c r="L446" s="229" t="s">
        <v>19</v>
      </c>
      <c r="M446" s="229" t="s">
        <v>35</v>
      </c>
      <c r="N446" s="220">
        <v>600</v>
      </c>
      <c r="O446" s="220">
        <v>600</v>
      </c>
      <c r="P446" s="220">
        <v>600</v>
      </c>
      <c r="Q446" s="220">
        <v>600</v>
      </c>
      <c r="R446" s="220">
        <v>600</v>
      </c>
    </row>
    <row r="447" spans="1:18" s="63" customFormat="1" ht="37.5" customHeight="1">
      <c r="A447" s="228"/>
      <c r="B447" s="229"/>
      <c r="C447" s="230"/>
      <c r="D447" s="230"/>
      <c r="E447" s="230"/>
      <c r="F447" s="1376"/>
      <c r="G447" s="230"/>
      <c r="H447" s="230"/>
      <c r="I447" s="1114" t="s">
        <v>70</v>
      </c>
      <c r="J447" s="1114" t="s">
        <v>54</v>
      </c>
      <c r="K447" s="1114" t="s">
        <v>57</v>
      </c>
      <c r="L447" s="229"/>
      <c r="M447" s="229"/>
      <c r="N447" s="220"/>
      <c r="O447" s="220"/>
      <c r="P447" s="220"/>
      <c r="Q447" s="220"/>
      <c r="R447" s="220"/>
    </row>
    <row r="448" spans="1:18" s="63" customFormat="1" ht="35.25" customHeight="1">
      <c r="A448" s="583" t="s">
        <v>1168</v>
      </c>
      <c r="B448" s="229"/>
      <c r="C448" s="1019"/>
      <c r="D448" s="230"/>
      <c r="E448" s="230"/>
      <c r="F448" s="1019"/>
      <c r="G448" s="230"/>
      <c r="H448" s="230"/>
      <c r="I448" s="1188" t="s">
        <v>1503</v>
      </c>
      <c r="J448" s="1117" t="s">
        <v>54</v>
      </c>
      <c r="K448" s="1117" t="s">
        <v>731</v>
      </c>
      <c r="L448" s="229" t="s">
        <v>19</v>
      </c>
      <c r="M448" s="229" t="s">
        <v>35</v>
      </c>
      <c r="N448" s="220">
        <v>2690.1460000000002</v>
      </c>
      <c r="O448" s="220">
        <v>2680.58</v>
      </c>
      <c r="P448" s="220">
        <v>2856.4</v>
      </c>
      <c r="Q448" s="220">
        <v>0</v>
      </c>
      <c r="R448" s="220">
        <v>0</v>
      </c>
    </row>
    <row r="449" spans="1:18" s="63" customFormat="1" ht="24.75" customHeight="1">
      <c r="A449" s="1227" t="s">
        <v>1169</v>
      </c>
      <c r="B449" s="229"/>
      <c r="C449" s="1019"/>
      <c r="D449" s="230"/>
      <c r="E449" s="230"/>
      <c r="F449" s="1019"/>
      <c r="G449" s="230"/>
      <c r="H449" s="230"/>
      <c r="I449" s="1188"/>
      <c r="J449" s="1117"/>
      <c r="K449" s="1117"/>
      <c r="L449" s="229"/>
      <c r="M449" s="229"/>
      <c r="N449" s="220"/>
      <c r="O449" s="220"/>
      <c r="P449" s="220"/>
      <c r="Q449" s="220"/>
      <c r="R449" s="220"/>
    </row>
    <row r="450" spans="1:18" s="63" customFormat="1" ht="72">
      <c r="A450" s="1227"/>
      <c r="B450" s="229"/>
      <c r="C450" s="1019"/>
      <c r="D450" s="1019"/>
      <c r="E450" s="1021"/>
      <c r="F450" s="256"/>
      <c r="G450" s="1019"/>
      <c r="H450" s="1021"/>
      <c r="I450" s="873" t="s">
        <v>150</v>
      </c>
      <c r="J450" s="1027" t="s">
        <v>54</v>
      </c>
      <c r="K450" s="1027" t="s">
        <v>85</v>
      </c>
      <c r="L450" s="229"/>
      <c r="M450" s="229"/>
      <c r="N450" s="220"/>
      <c r="O450" s="220"/>
      <c r="P450" s="220"/>
      <c r="Q450" s="220"/>
      <c r="R450" s="220"/>
    </row>
    <row r="451" spans="1:18" s="63" customFormat="1" ht="72" customHeight="1">
      <c r="A451" s="228"/>
      <c r="B451" s="229"/>
      <c r="C451" s="230"/>
      <c r="D451" s="230"/>
      <c r="E451" s="230"/>
      <c r="F451" s="230"/>
      <c r="G451" s="230"/>
      <c r="H451" s="230"/>
      <c r="I451" s="873" t="s">
        <v>1033</v>
      </c>
      <c r="J451" s="1027" t="s">
        <v>54</v>
      </c>
      <c r="K451" s="1027" t="s">
        <v>322</v>
      </c>
      <c r="L451" s="1038"/>
      <c r="M451" s="1038"/>
      <c r="N451" s="220"/>
      <c r="O451" s="220"/>
      <c r="P451" s="220"/>
      <c r="Q451" s="220"/>
      <c r="R451" s="220"/>
    </row>
    <row r="452" spans="1:18" s="62" customFormat="1" ht="48.75" customHeight="1">
      <c r="A452" s="583" t="s">
        <v>1557</v>
      </c>
      <c r="B452" s="229"/>
      <c r="C452" s="1019"/>
      <c r="D452" s="255"/>
      <c r="E452" s="255"/>
      <c r="F452" s="1019"/>
      <c r="G452" s="1019"/>
      <c r="H452" s="1021"/>
      <c r="I452" s="1027" t="s">
        <v>1480</v>
      </c>
      <c r="J452" s="1027" t="s">
        <v>54</v>
      </c>
      <c r="K452" s="1027" t="s">
        <v>960</v>
      </c>
      <c r="L452" s="1038"/>
      <c r="M452" s="229"/>
      <c r="N452" s="222"/>
      <c r="O452" s="222"/>
      <c r="P452" s="222"/>
      <c r="Q452" s="222"/>
      <c r="R452" s="222"/>
    </row>
    <row r="453" spans="1:18" s="62" customFormat="1" ht="36" customHeight="1">
      <c r="A453" s="228" t="s">
        <v>1170</v>
      </c>
      <c r="B453" s="229"/>
      <c r="C453" s="1019"/>
      <c r="D453" s="255"/>
      <c r="E453" s="255"/>
      <c r="F453" s="1019"/>
      <c r="G453" s="1019"/>
      <c r="H453" s="1021"/>
      <c r="I453" s="1027" t="s">
        <v>724</v>
      </c>
      <c r="J453" s="1027" t="s">
        <v>54</v>
      </c>
      <c r="K453" s="1027" t="s">
        <v>659</v>
      </c>
      <c r="L453" s="1038">
        <v>10</v>
      </c>
      <c r="M453" s="229" t="s">
        <v>29</v>
      </c>
      <c r="N453" s="222">
        <v>5.6840000000000002</v>
      </c>
      <c r="O453" s="222">
        <v>5.6840000000000002</v>
      </c>
      <c r="P453" s="222">
        <v>5.7</v>
      </c>
      <c r="Q453" s="222">
        <v>5.7</v>
      </c>
      <c r="R453" s="222">
        <v>5.7</v>
      </c>
    </row>
    <row r="454" spans="1:18" s="63" customFormat="1" ht="72.75" customHeight="1">
      <c r="A454" s="18" t="s">
        <v>456</v>
      </c>
      <c r="B454" s="82" t="s">
        <v>457</v>
      </c>
      <c r="C454" s="92"/>
      <c r="D454" s="92"/>
      <c r="E454" s="92"/>
      <c r="F454" s="92"/>
      <c r="G454" s="92"/>
      <c r="H454" s="92"/>
      <c r="I454" s="113"/>
      <c r="J454" s="108"/>
      <c r="K454" s="108"/>
      <c r="L454" s="19"/>
      <c r="M454" s="19"/>
      <c r="N454" s="105">
        <f t="shared" ref="N454:R454" si="27">N455</f>
        <v>226.166</v>
      </c>
      <c r="O454" s="105">
        <f t="shared" si="27"/>
        <v>226.166</v>
      </c>
      <c r="P454" s="105">
        <f t="shared" si="27"/>
        <v>238</v>
      </c>
      <c r="Q454" s="105">
        <f t="shared" si="27"/>
        <v>226.2</v>
      </c>
      <c r="R454" s="105">
        <f t="shared" si="27"/>
        <v>226.2</v>
      </c>
    </row>
    <row r="455" spans="1:18" s="63" customFormat="1" ht="95.25" customHeight="1">
      <c r="A455" s="16" t="s">
        <v>1171</v>
      </c>
      <c r="B455" s="802">
        <v>1604</v>
      </c>
      <c r="C455" s="130" t="s">
        <v>43</v>
      </c>
      <c r="D455" s="131" t="s">
        <v>316</v>
      </c>
      <c r="E455" s="132" t="s">
        <v>114</v>
      </c>
      <c r="F455" s="133" t="s">
        <v>168</v>
      </c>
      <c r="G455" s="134" t="s">
        <v>169</v>
      </c>
      <c r="H455" s="134" t="s">
        <v>170</v>
      </c>
      <c r="I455" s="134" t="s">
        <v>171</v>
      </c>
      <c r="J455" s="134" t="s">
        <v>120</v>
      </c>
      <c r="K455" s="135" t="s">
        <v>172</v>
      </c>
      <c r="L455" s="802" t="s">
        <v>28</v>
      </c>
      <c r="M455" s="802" t="s">
        <v>22</v>
      </c>
      <c r="N455" s="17">
        <v>226.166</v>
      </c>
      <c r="O455" s="555">
        <v>226.166</v>
      </c>
      <c r="P455" s="17">
        <v>238</v>
      </c>
      <c r="Q455" s="17">
        <v>226.2</v>
      </c>
      <c r="R455" s="17">
        <v>226.2</v>
      </c>
    </row>
    <row r="456" spans="1:18" s="63" customFormat="1" ht="119.25" customHeight="1">
      <c r="A456" s="16" t="s">
        <v>700</v>
      </c>
      <c r="B456" s="802">
        <v>1700</v>
      </c>
      <c r="C456" s="802" t="s">
        <v>25</v>
      </c>
      <c r="D456" s="802" t="s">
        <v>25</v>
      </c>
      <c r="E456" s="802" t="s">
        <v>25</v>
      </c>
      <c r="F456" s="802" t="s">
        <v>25</v>
      </c>
      <c r="G456" s="802" t="s">
        <v>25</v>
      </c>
      <c r="H456" s="802" t="s">
        <v>25</v>
      </c>
      <c r="I456" s="802" t="s">
        <v>25</v>
      </c>
      <c r="J456" s="802" t="s">
        <v>25</v>
      </c>
      <c r="K456" s="802" t="s">
        <v>25</v>
      </c>
      <c r="L456" s="802"/>
      <c r="M456" s="802"/>
      <c r="N456" s="17">
        <f t="shared" ref="N456:R456" si="28">N457+N463</f>
        <v>69669.148999999976</v>
      </c>
      <c r="O456" s="17">
        <f t="shared" si="28"/>
        <v>61322.329999999994</v>
      </c>
      <c r="P456" s="17">
        <f t="shared" si="28"/>
        <v>79533.739000000001</v>
      </c>
      <c r="Q456" s="17">
        <f t="shared" si="28"/>
        <v>86274.561999999991</v>
      </c>
      <c r="R456" s="17">
        <f t="shared" si="28"/>
        <v>86432.982999999993</v>
      </c>
    </row>
    <row r="457" spans="1:18" s="63" customFormat="1" ht="24.75" customHeight="1">
      <c r="A457" s="16" t="s">
        <v>458</v>
      </c>
      <c r="B457" s="802">
        <v>1701</v>
      </c>
      <c r="C457" s="802" t="s">
        <v>25</v>
      </c>
      <c r="D457" s="802" t="s">
        <v>25</v>
      </c>
      <c r="E457" s="802" t="s">
        <v>25</v>
      </c>
      <c r="F457" s="802" t="s">
        <v>25</v>
      </c>
      <c r="G457" s="802" t="s">
        <v>25</v>
      </c>
      <c r="H457" s="802" t="s">
        <v>25</v>
      </c>
      <c r="I457" s="802" t="s">
        <v>25</v>
      </c>
      <c r="J457" s="802" t="s">
        <v>25</v>
      </c>
      <c r="K457" s="802" t="s">
        <v>25</v>
      </c>
      <c r="L457" s="802"/>
      <c r="M457" s="802"/>
      <c r="N457" s="17">
        <f t="shared" ref="N457:Q457" si="29">N459</f>
        <v>3.9</v>
      </c>
      <c r="O457" s="17">
        <f t="shared" si="29"/>
        <v>3.9</v>
      </c>
      <c r="P457" s="17">
        <f t="shared" si="29"/>
        <v>20</v>
      </c>
      <c r="Q457" s="17">
        <f t="shared" si="29"/>
        <v>20.5</v>
      </c>
      <c r="R457" s="17">
        <f t="shared" ref="R457" si="30">R459</f>
        <v>145</v>
      </c>
    </row>
    <row r="458" spans="1:18" s="63" customFormat="1" ht="12">
      <c r="A458" s="18" t="s">
        <v>76</v>
      </c>
      <c r="B458" s="19"/>
      <c r="C458" s="19"/>
      <c r="D458" s="19"/>
      <c r="E458" s="19"/>
      <c r="F458" s="19"/>
      <c r="G458" s="19"/>
      <c r="H458" s="19"/>
      <c r="I458" s="19"/>
      <c r="J458" s="19"/>
      <c r="K458" s="19"/>
      <c r="L458" s="800"/>
      <c r="M458" s="800"/>
      <c r="N458" s="17"/>
      <c r="O458" s="555"/>
      <c r="P458" s="17"/>
      <c r="Q458" s="17"/>
      <c r="R458" s="17"/>
    </row>
    <row r="459" spans="1:18" s="62" customFormat="1" ht="192">
      <c r="A459" s="310" t="s">
        <v>701</v>
      </c>
      <c r="B459" s="311" t="s">
        <v>459</v>
      </c>
      <c r="C459" s="312" t="s">
        <v>173</v>
      </c>
      <c r="D459" s="313" t="s">
        <v>174</v>
      </c>
      <c r="E459" s="314" t="s">
        <v>175</v>
      </c>
      <c r="F459" s="313" t="s">
        <v>176</v>
      </c>
      <c r="G459" s="313" t="s">
        <v>98</v>
      </c>
      <c r="H459" s="313" t="s">
        <v>50</v>
      </c>
      <c r="I459" s="313" t="s">
        <v>177</v>
      </c>
      <c r="J459" s="313" t="s">
        <v>68</v>
      </c>
      <c r="K459" s="315" t="s">
        <v>178</v>
      </c>
      <c r="L459" s="311" t="s">
        <v>28</v>
      </c>
      <c r="M459" s="311" t="s">
        <v>30</v>
      </c>
      <c r="N459" s="316">
        <v>3.9</v>
      </c>
      <c r="O459" s="852">
        <v>3.9</v>
      </c>
      <c r="P459" s="316">
        <v>20</v>
      </c>
      <c r="Q459" s="316">
        <v>20.5</v>
      </c>
      <c r="R459" s="316">
        <v>145</v>
      </c>
    </row>
    <row r="460" spans="1:18" s="62" customFormat="1" ht="156" hidden="1" customHeight="1">
      <c r="A460" s="615" t="s">
        <v>483</v>
      </c>
      <c r="B460" s="1001" t="s">
        <v>658</v>
      </c>
      <c r="C460" s="1090" t="s">
        <v>203</v>
      </c>
      <c r="D460" s="1035" t="s">
        <v>152</v>
      </c>
      <c r="E460" s="1035" t="s">
        <v>204</v>
      </c>
      <c r="F460" s="1035" t="s">
        <v>205</v>
      </c>
      <c r="G460" s="1035" t="s">
        <v>206</v>
      </c>
      <c r="H460" s="1035" t="s">
        <v>182</v>
      </c>
      <c r="I460" s="1035" t="s">
        <v>812</v>
      </c>
      <c r="J460" s="1115" t="s">
        <v>207</v>
      </c>
      <c r="K460" s="142" t="s">
        <v>208</v>
      </c>
      <c r="L460" s="1001">
        <v>10</v>
      </c>
      <c r="M460" s="233" t="s">
        <v>32</v>
      </c>
      <c r="N460" s="214"/>
      <c r="O460" s="214"/>
      <c r="P460" s="214"/>
      <c r="Q460" s="214"/>
      <c r="R460" s="214"/>
    </row>
    <row r="461" spans="1:18" s="62" customFormat="1" ht="36" hidden="1">
      <c r="A461" s="270" t="s">
        <v>797</v>
      </c>
      <c r="B461" s="1031">
        <v>1722</v>
      </c>
      <c r="C461" s="1039"/>
      <c r="D461" s="1039"/>
      <c r="E461" s="1039"/>
      <c r="F461" s="1039"/>
      <c r="G461" s="1039"/>
      <c r="H461" s="1039"/>
      <c r="I461" s="1039"/>
      <c r="J461" s="87"/>
      <c r="K461" s="87"/>
      <c r="L461" s="1079" t="s">
        <v>31</v>
      </c>
      <c r="M461" s="1079" t="s">
        <v>35</v>
      </c>
      <c r="N461" s="258"/>
      <c r="O461" s="418"/>
      <c r="P461" s="258"/>
      <c r="Q461" s="258"/>
      <c r="R461" s="258"/>
    </row>
    <row r="462" spans="1:18" s="62" customFormat="1" ht="119.25" hidden="1" customHeight="1">
      <c r="A462" s="53" t="s">
        <v>621</v>
      </c>
      <c r="B462" s="298" t="s">
        <v>622</v>
      </c>
      <c r="C462" s="1039"/>
      <c r="D462" s="1039"/>
      <c r="E462" s="1039"/>
      <c r="F462" s="1039" t="s">
        <v>667</v>
      </c>
      <c r="G462" s="1039" t="s">
        <v>224</v>
      </c>
      <c r="H462" s="1039" t="s">
        <v>668</v>
      </c>
      <c r="I462" s="1039" t="s">
        <v>665</v>
      </c>
      <c r="J462" s="87" t="s">
        <v>54</v>
      </c>
      <c r="K462" s="87" t="s">
        <v>666</v>
      </c>
      <c r="L462" s="298" t="s">
        <v>28</v>
      </c>
      <c r="M462" s="298" t="s">
        <v>22</v>
      </c>
      <c r="N462" s="56"/>
      <c r="O462" s="56"/>
      <c r="P462" s="56"/>
      <c r="Q462" s="56"/>
      <c r="R462" s="56"/>
    </row>
    <row r="463" spans="1:18" s="63" customFormat="1" ht="24">
      <c r="A463" s="31" t="s">
        <v>460</v>
      </c>
      <c r="B463" s="374">
        <v>1800</v>
      </c>
      <c r="C463" s="115"/>
      <c r="D463" s="115"/>
      <c r="E463" s="116"/>
      <c r="F463" s="115"/>
      <c r="G463" s="115"/>
      <c r="H463" s="115"/>
      <c r="I463" s="115"/>
      <c r="J463" s="115"/>
      <c r="K463" s="115"/>
      <c r="L463" s="374"/>
      <c r="M463" s="374"/>
      <c r="N463" s="32">
        <f t="shared" ref="N463:Q463" si="31">SUM(N465:N474)</f>
        <v>69665.248999999982</v>
      </c>
      <c r="O463" s="32">
        <f t="shared" ref="O463" si="32">SUM(O465:O474)</f>
        <v>61318.429999999993</v>
      </c>
      <c r="P463" s="32">
        <f t="shared" si="31"/>
        <v>79513.739000000001</v>
      </c>
      <c r="Q463" s="32">
        <f t="shared" si="31"/>
        <v>86254.061999999991</v>
      </c>
      <c r="R463" s="32">
        <f t="shared" ref="R463" si="33">SUM(R465:R474)</f>
        <v>86287.982999999993</v>
      </c>
    </row>
    <row r="464" spans="1:18" s="63" customFormat="1" ht="12">
      <c r="A464" s="18" t="s">
        <v>76</v>
      </c>
      <c r="B464" s="19"/>
      <c r="C464" s="19"/>
      <c r="D464" s="19"/>
      <c r="E464" s="19"/>
      <c r="F464" s="19"/>
      <c r="G464" s="19"/>
      <c r="H464" s="19"/>
      <c r="I464" s="19"/>
      <c r="J464" s="19"/>
      <c r="K464" s="19"/>
      <c r="L464" s="800"/>
      <c r="M464" s="800"/>
      <c r="N464" s="17"/>
      <c r="O464" s="17"/>
      <c r="P464" s="17"/>
      <c r="Q464" s="17"/>
      <c r="R464" s="17"/>
    </row>
    <row r="465" spans="1:18" s="64" customFormat="1" ht="12">
      <c r="A465" s="20"/>
      <c r="B465" s="21"/>
      <c r="C465" s="21"/>
      <c r="D465" s="21"/>
      <c r="E465" s="21"/>
      <c r="F465" s="21"/>
      <c r="G465" s="21"/>
      <c r="H465" s="21"/>
      <c r="I465" s="21"/>
      <c r="J465" s="21"/>
      <c r="K465" s="21"/>
      <c r="L465" s="45" t="s">
        <v>28</v>
      </c>
      <c r="M465" s="45" t="s">
        <v>32</v>
      </c>
      <c r="N465" s="35">
        <f t="shared" ref="N465:Q465" si="34">N476+N490</f>
        <v>13743.3</v>
      </c>
      <c r="O465" s="35">
        <f t="shared" ref="O465" si="35">O476+O490</f>
        <v>12872.65</v>
      </c>
      <c r="P465" s="35">
        <f t="shared" si="34"/>
        <v>16095.2</v>
      </c>
      <c r="Q465" s="35">
        <f t="shared" si="34"/>
        <v>16095.2</v>
      </c>
      <c r="R465" s="35">
        <f t="shared" ref="R465" si="36">R476+R490</f>
        <v>16095.2</v>
      </c>
    </row>
    <row r="466" spans="1:18" s="64" customFormat="1" ht="12">
      <c r="A466" s="330"/>
      <c r="B466" s="331"/>
      <c r="C466" s="331"/>
      <c r="D466" s="331"/>
      <c r="E466" s="331"/>
      <c r="F466" s="331"/>
      <c r="G466" s="331"/>
      <c r="H466" s="331"/>
      <c r="I466" s="331"/>
      <c r="J466" s="331"/>
      <c r="K466" s="331"/>
      <c r="L466" s="332" t="s">
        <v>28</v>
      </c>
      <c r="M466" s="332" t="s">
        <v>22</v>
      </c>
      <c r="N466" s="333">
        <f t="shared" ref="N466:Q466" si="37">N502</f>
        <v>1108.5999999999999</v>
      </c>
      <c r="O466" s="333">
        <f t="shared" ref="O466" si="38">O502</f>
        <v>1108.5999999999999</v>
      </c>
      <c r="P466" s="333">
        <f t="shared" si="37"/>
        <v>1153.8</v>
      </c>
      <c r="Q466" s="333">
        <f t="shared" si="37"/>
        <v>1153.8</v>
      </c>
      <c r="R466" s="333">
        <f t="shared" ref="R466" si="39">R502</f>
        <v>1153.8</v>
      </c>
    </row>
    <row r="467" spans="1:18" s="64" customFormat="1" ht="12">
      <c r="A467" s="20"/>
      <c r="B467" s="21"/>
      <c r="C467" s="21"/>
      <c r="D467" s="21"/>
      <c r="E467" s="21"/>
      <c r="F467" s="21"/>
      <c r="G467" s="21"/>
      <c r="H467" s="21"/>
      <c r="I467" s="21"/>
      <c r="J467" s="21"/>
      <c r="K467" s="21"/>
      <c r="L467" s="45" t="s">
        <v>32</v>
      </c>
      <c r="M467" s="45" t="s">
        <v>28</v>
      </c>
      <c r="N467" s="35">
        <f t="shared" ref="N467:Q467" si="40">N483+N497</f>
        <v>234.5</v>
      </c>
      <c r="O467" s="35">
        <f t="shared" ref="O467" si="41">O483+O497</f>
        <v>135.04399999999998</v>
      </c>
      <c r="P467" s="35">
        <f t="shared" si="40"/>
        <v>245</v>
      </c>
      <c r="Q467" s="35">
        <f t="shared" si="40"/>
        <v>245</v>
      </c>
      <c r="R467" s="35">
        <f t="shared" ref="R467" si="42">R483+R497</f>
        <v>245</v>
      </c>
    </row>
    <row r="468" spans="1:18" s="64" customFormat="1" ht="12">
      <c r="A468" s="20"/>
      <c r="B468" s="21"/>
      <c r="C468" s="21"/>
      <c r="D468" s="21"/>
      <c r="E468" s="21"/>
      <c r="F468" s="21"/>
      <c r="G468" s="21"/>
      <c r="H468" s="21"/>
      <c r="I468" s="21"/>
      <c r="J468" s="21"/>
      <c r="K468" s="21"/>
      <c r="L468" s="45" t="s">
        <v>32</v>
      </c>
      <c r="M468" s="45" t="s">
        <v>30</v>
      </c>
      <c r="N468" s="35">
        <f>N484+N498+N503+N505+N510</f>
        <v>13638.289000000001</v>
      </c>
      <c r="O468" s="35">
        <f>O484+O498+O503+O505+O510</f>
        <v>13594.223000000002</v>
      </c>
      <c r="P468" s="35">
        <f>P484+P498+P503+P505+P510</f>
        <v>13753.743</v>
      </c>
      <c r="Q468" s="35">
        <f>Q484+Q498+Q503+Q505+Q510</f>
        <v>11355.714</v>
      </c>
      <c r="R468" s="35">
        <f>R484+R498+R503+R505+R510</f>
        <v>11346.277</v>
      </c>
    </row>
    <row r="469" spans="1:18" s="64" customFormat="1" ht="12">
      <c r="A469" s="20"/>
      <c r="B469" s="21"/>
      <c r="C469" s="21"/>
      <c r="D469" s="21"/>
      <c r="E469" s="21"/>
      <c r="F469" s="21"/>
      <c r="G469" s="21"/>
      <c r="H469" s="21"/>
      <c r="I469" s="21"/>
      <c r="J469" s="21"/>
      <c r="K469" s="21"/>
      <c r="L469" s="45" t="s">
        <v>36</v>
      </c>
      <c r="M469" s="45" t="s">
        <v>28</v>
      </c>
      <c r="N469" s="35">
        <f>N511</f>
        <v>831.52800000000002</v>
      </c>
      <c r="O469" s="35">
        <f t="shared" ref="O469:R469" si="43">O511</f>
        <v>810.69600000000003</v>
      </c>
      <c r="P469" s="35">
        <f t="shared" si="43"/>
        <v>862.77599999999995</v>
      </c>
      <c r="Q469" s="35">
        <f t="shared" si="43"/>
        <v>873.19200000000001</v>
      </c>
      <c r="R469" s="35">
        <f t="shared" si="43"/>
        <v>873.19200000000001</v>
      </c>
    </row>
    <row r="470" spans="1:18" s="64" customFormat="1" ht="12">
      <c r="A470" s="20"/>
      <c r="B470" s="21"/>
      <c r="C470" s="21"/>
      <c r="D470" s="21"/>
      <c r="E470" s="21"/>
      <c r="F470" s="21"/>
      <c r="G470" s="21"/>
      <c r="H470" s="21"/>
      <c r="I470" s="21"/>
      <c r="J470" s="21"/>
      <c r="K470" s="21"/>
      <c r="L470" s="45" t="s">
        <v>36</v>
      </c>
      <c r="M470" s="45" t="s">
        <v>31</v>
      </c>
      <c r="N470" s="35">
        <f>N508+N512+N514</f>
        <v>2378.384</v>
      </c>
      <c r="O470" s="35">
        <f t="shared" ref="O470:R470" si="44">O508+O512+O514</f>
        <v>2350.6390000000001</v>
      </c>
      <c r="P470" s="35">
        <f t="shared" si="44"/>
        <v>2916.6280000000002</v>
      </c>
      <c r="Q470" s="35">
        <f t="shared" si="44"/>
        <v>2937.46</v>
      </c>
      <c r="R470" s="35">
        <f t="shared" si="44"/>
        <v>2937.46</v>
      </c>
    </row>
    <row r="471" spans="1:18" s="64" customFormat="1" ht="12">
      <c r="A471" s="20"/>
      <c r="B471" s="21"/>
      <c r="C471" s="21"/>
      <c r="D471" s="21"/>
      <c r="E471" s="21"/>
      <c r="F471" s="21"/>
      <c r="G471" s="21"/>
      <c r="H471" s="21"/>
      <c r="I471" s="21"/>
      <c r="J471" s="21"/>
      <c r="K471" s="21"/>
      <c r="L471" s="45" t="s">
        <v>36</v>
      </c>
      <c r="M471" s="45" t="s">
        <v>35</v>
      </c>
      <c r="N471" s="35">
        <f>N513</f>
        <v>31.248000000000001</v>
      </c>
      <c r="O471" s="35">
        <f t="shared" ref="O471:R471" si="45">O513</f>
        <v>31.248000000000001</v>
      </c>
      <c r="P471" s="35">
        <f t="shared" si="45"/>
        <v>62.496000000000002</v>
      </c>
      <c r="Q471" s="35">
        <f t="shared" si="45"/>
        <v>31.248000000000001</v>
      </c>
      <c r="R471" s="35">
        <f t="shared" si="45"/>
        <v>31.248000000000001</v>
      </c>
    </row>
    <row r="472" spans="1:18" s="64" customFormat="1" ht="12">
      <c r="A472" s="20"/>
      <c r="B472" s="21"/>
      <c r="C472" s="21"/>
      <c r="D472" s="21"/>
      <c r="E472" s="21"/>
      <c r="F472" s="21"/>
      <c r="G472" s="21"/>
      <c r="H472" s="21"/>
      <c r="I472" s="21"/>
      <c r="J472" s="21"/>
      <c r="K472" s="21"/>
      <c r="L472" s="45" t="s">
        <v>36</v>
      </c>
      <c r="M472" s="45" t="s">
        <v>30</v>
      </c>
      <c r="N472" s="35">
        <f t="shared" ref="N472:Q472" si="46">N500</f>
        <v>0</v>
      </c>
      <c r="O472" s="35">
        <f t="shared" ref="O472" si="47">O500</f>
        <v>0</v>
      </c>
      <c r="P472" s="35">
        <f t="shared" si="46"/>
        <v>0</v>
      </c>
      <c r="Q472" s="35">
        <f t="shared" si="46"/>
        <v>0</v>
      </c>
      <c r="R472" s="35">
        <f t="shared" ref="R472" si="48">R500</f>
        <v>0</v>
      </c>
    </row>
    <row r="473" spans="1:18" s="64" customFormat="1" ht="12">
      <c r="A473" s="20"/>
      <c r="B473" s="21"/>
      <c r="C473" s="21"/>
      <c r="D473" s="21"/>
      <c r="E473" s="21"/>
      <c r="F473" s="21"/>
      <c r="G473" s="21"/>
      <c r="H473" s="21"/>
      <c r="I473" s="21"/>
      <c r="J473" s="21"/>
      <c r="K473" s="21"/>
      <c r="L473" s="45" t="s">
        <v>19</v>
      </c>
      <c r="M473" s="45" t="s">
        <v>32</v>
      </c>
      <c r="N473" s="35">
        <f>N509+N507</f>
        <v>37676.5</v>
      </c>
      <c r="O473" s="35">
        <f>O509+O507</f>
        <v>30394.511999999999</v>
      </c>
      <c r="P473" s="35">
        <f t="shared" ref="P473:Q473" si="49">P509+P507</f>
        <v>44400.196000000004</v>
      </c>
      <c r="Q473" s="35">
        <f t="shared" si="49"/>
        <v>53538.548000000003</v>
      </c>
      <c r="R473" s="35">
        <f t="shared" ref="R473" si="50">R509+R507</f>
        <v>53581.906000000003</v>
      </c>
    </row>
    <row r="474" spans="1:18" s="64" customFormat="1" ht="12">
      <c r="A474" s="20"/>
      <c r="B474" s="21"/>
      <c r="C474" s="21"/>
      <c r="D474" s="21"/>
      <c r="E474" s="21"/>
      <c r="F474" s="21"/>
      <c r="G474" s="21"/>
      <c r="H474" s="21"/>
      <c r="I474" s="21"/>
      <c r="J474" s="21"/>
      <c r="K474" s="21"/>
      <c r="L474" s="45" t="s">
        <v>19</v>
      </c>
      <c r="M474" s="45" t="s">
        <v>29</v>
      </c>
      <c r="N474" s="35">
        <f t="shared" ref="N474:Q474" si="51">N487+N501</f>
        <v>22.9</v>
      </c>
      <c r="O474" s="35">
        <f t="shared" ref="O474" si="52">O487+O501</f>
        <v>20.818000000000001</v>
      </c>
      <c r="P474" s="35">
        <f t="shared" si="51"/>
        <v>23.9</v>
      </c>
      <c r="Q474" s="35">
        <f t="shared" si="51"/>
        <v>23.900000000000002</v>
      </c>
      <c r="R474" s="35">
        <f t="shared" ref="R474" si="53">R487+R501</f>
        <v>23.900000000000002</v>
      </c>
    </row>
    <row r="475" spans="1:18" s="62" customFormat="1" ht="14.25" customHeight="1">
      <c r="A475" s="1254" t="s">
        <v>777</v>
      </c>
      <c r="B475" s="1032">
        <v>1801</v>
      </c>
      <c r="C475" s="1039"/>
      <c r="D475" s="1039"/>
      <c r="E475" s="87"/>
      <c r="F475" s="1039"/>
      <c r="G475" s="1039"/>
      <c r="H475" s="1039"/>
      <c r="I475" s="1039"/>
      <c r="J475" s="1039"/>
      <c r="K475" s="1039"/>
      <c r="L475" s="1032"/>
      <c r="M475" s="1032"/>
      <c r="N475" s="56">
        <f t="shared" ref="N475:Q475" si="54">SUM(N476:N488)</f>
        <v>11307.297999999999</v>
      </c>
      <c r="O475" s="56">
        <f t="shared" ref="O475" si="55">SUM(O476:O488)</f>
        <v>10669.190999999999</v>
      </c>
      <c r="P475" s="56">
        <f t="shared" si="54"/>
        <v>13024.345000000001</v>
      </c>
      <c r="Q475" s="56">
        <f t="shared" si="54"/>
        <v>13024.254000000001</v>
      </c>
      <c r="R475" s="56">
        <f t="shared" ref="R475" si="56">SUM(R476:R488)</f>
        <v>13024.254000000001</v>
      </c>
    </row>
    <row r="476" spans="1:18" s="96" customFormat="1" ht="132.75" customHeight="1">
      <c r="A476" s="1255"/>
      <c r="B476" s="436" t="s">
        <v>485</v>
      </c>
      <c r="C476" s="974" t="s">
        <v>179</v>
      </c>
      <c r="D476" s="974" t="s">
        <v>525</v>
      </c>
      <c r="E476" s="974" t="s">
        <v>180</v>
      </c>
      <c r="F476" s="974" t="s">
        <v>181</v>
      </c>
      <c r="G476" s="974" t="s">
        <v>526</v>
      </c>
      <c r="H476" s="974" t="s">
        <v>182</v>
      </c>
      <c r="I476" s="974" t="s">
        <v>644</v>
      </c>
      <c r="J476" s="376" t="s">
        <v>183</v>
      </c>
      <c r="K476" s="376" t="s">
        <v>184</v>
      </c>
      <c r="L476" s="94" t="s">
        <v>28</v>
      </c>
      <c r="M476" s="94" t="s">
        <v>32</v>
      </c>
      <c r="N476" s="95">
        <v>9569.348</v>
      </c>
      <c r="O476" s="95">
        <v>9007.6219999999994</v>
      </c>
      <c r="P476" s="95">
        <v>11211.297</v>
      </c>
      <c r="Q476" s="95">
        <v>11211.297</v>
      </c>
      <c r="R476" s="95">
        <v>11211.297</v>
      </c>
    </row>
    <row r="477" spans="1:18" s="96" customFormat="1" ht="108.75" customHeight="1">
      <c r="A477" s="1255"/>
      <c r="B477" s="1012" t="s">
        <v>486</v>
      </c>
      <c r="C477" s="1023" t="s">
        <v>220</v>
      </c>
      <c r="D477" s="1023" t="s">
        <v>221</v>
      </c>
      <c r="E477" s="1023" t="s">
        <v>222</v>
      </c>
      <c r="F477" s="1023" t="s">
        <v>223</v>
      </c>
      <c r="G477" s="1023" t="s">
        <v>224</v>
      </c>
      <c r="H477" s="375" t="s">
        <v>217</v>
      </c>
      <c r="I477" s="1039" t="s">
        <v>225</v>
      </c>
      <c r="J477" s="1039" t="s">
        <v>68</v>
      </c>
      <c r="K477" s="1023" t="s">
        <v>226</v>
      </c>
      <c r="L477" s="94"/>
      <c r="M477" s="94"/>
      <c r="N477" s="95"/>
      <c r="O477" s="95"/>
      <c r="P477" s="95"/>
      <c r="Q477" s="95"/>
      <c r="R477" s="95"/>
    </row>
    <row r="478" spans="1:18" s="96" customFormat="1" ht="120">
      <c r="A478" s="1255"/>
      <c r="B478" s="97"/>
      <c r="C478" s="1023" t="s">
        <v>227</v>
      </c>
      <c r="D478" s="1023" t="s">
        <v>228</v>
      </c>
      <c r="E478" s="1023" t="s">
        <v>229</v>
      </c>
      <c r="F478" s="1023" t="s">
        <v>230</v>
      </c>
      <c r="G478" s="1023" t="s">
        <v>231</v>
      </c>
      <c r="H478" s="1023" t="s">
        <v>232</v>
      </c>
      <c r="I478" s="1039" t="s">
        <v>233</v>
      </c>
      <c r="J478" s="1039" t="s">
        <v>68</v>
      </c>
      <c r="K478" s="1039" t="s">
        <v>234</v>
      </c>
      <c r="L478" s="94"/>
      <c r="M478" s="94"/>
      <c r="N478" s="95"/>
      <c r="O478" s="95"/>
      <c r="P478" s="95"/>
      <c r="Q478" s="95"/>
      <c r="R478" s="95"/>
    </row>
    <row r="479" spans="1:18" s="96" customFormat="1" ht="118.5" customHeight="1">
      <c r="A479" s="121"/>
      <c r="B479" s="298" t="s">
        <v>487</v>
      </c>
      <c r="C479" s="1023" t="s">
        <v>156</v>
      </c>
      <c r="D479" s="1023" t="s">
        <v>197</v>
      </c>
      <c r="E479" s="1023" t="s">
        <v>235</v>
      </c>
      <c r="F479" s="1023" t="s">
        <v>236</v>
      </c>
      <c r="G479" s="1023" t="s">
        <v>602</v>
      </c>
      <c r="H479" s="1023" t="s">
        <v>237</v>
      </c>
      <c r="I479" s="1023" t="s">
        <v>871</v>
      </c>
      <c r="J479" s="1023" t="s">
        <v>68</v>
      </c>
      <c r="K479" s="1023" t="s">
        <v>238</v>
      </c>
      <c r="L479" s="94"/>
      <c r="M479" s="94"/>
      <c r="N479" s="95"/>
      <c r="O479" s="95"/>
      <c r="P479" s="95"/>
      <c r="Q479" s="95"/>
      <c r="R479" s="95"/>
    </row>
    <row r="480" spans="1:18" s="96" customFormat="1" ht="155.25" customHeight="1">
      <c r="A480" s="121"/>
      <c r="B480" s="298" t="s">
        <v>488</v>
      </c>
      <c r="C480" s="1028" t="s">
        <v>338</v>
      </c>
      <c r="D480" s="29" t="s">
        <v>339</v>
      </c>
      <c r="E480" s="1028" t="s">
        <v>340</v>
      </c>
      <c r="F480" s="1023" t="s">
        <v>239</v>
      </c>
      <c r="G480" s="1023" t="s">
        <v>240</v>
      </c>
      <c r="H480" s="375" t="s">
        <v>217</v>
      </c>
      <c r="I480" s="1023" t="s">
        <v>241</v>
      </c>
      <c r="J480" s="375" t="s">
        <v>68</v>
      </c>
      <c r="K480" s="375" t="s">
        <v>242</v>
      </c>
      <c r="L480" s="94"/>
      <c r="M480" s="94"/>
      <c r="N480" s="95"/>
      <c r="O480" s="95"/>
      <c r="P480" s="95"/>
      <c r="Q480" s="95"/>
      <c r="R480" s="95"/>
    </row>
    <row r="481" spans="1:18" s="96" customFormat="1" ht="216.75" customHeight="1">
      <c r="A481" s="121"/>
      <c r="B481" s="298" t="s">
        <v>489</v>
      </c>
      <c r="C481" s="1023" t="s">
        <v>651</v>
      </c>
      <c r="D481" s="1023" t="s">
        <v>652</v>
      </c>
      <c r="E481" s="1023" t="s">
        <v>654</v>
      </c>
      <c r="F481" s="1039" t="s">
        <v>253</v>
      </c>
      <c r="G481" s="1039" t="s">
        <v>254</v>
      </c>
      <c r="H481" s="87" t="s">
        <v>255</v>
      </c>
      <c r="I481" s="1039" t="s">
        <v>540</v>
      </c>
      <c r="J481" s="87" t="s">
        <v>256</v>
      </c>
      <c r="K481" s="88" t="s">
        <v>257</v>
      </c>
      <c r="L481" s="94"/>
      <c r="M481" s="94"/>
      <c r="N481" s="95"/>
      <c r="O481" s="95"/>
      <c r="P481" s="95"/>
      <c r="Q481" s="95"/>
      <c r="R481" s="95"/>
    </row>
    <row r="482" spans="1:18" s="96" customFormat="1" ht="180.75" customHeight="1">
      <c r="A482" s="121"/>
      <c r="B482" s="298" t="s">
        <v>490</v>
      </c>
      <c r="C482" s="1023" t="s">
        <v>262</v>
      </c>
      <c r="D482" s="1023" t="s">
        <v>263</v>
      </c>
      <c r="E482" s="375" t="s">
        <v>264</v>
      </c>
      <c r="F482" s="1023" t="s">
        <v>265</v>
      </c>
      <c r="G482" s="1023" t="s">
        <v>211</v>
      </c>
      <c r="H482" s="1023" t="s">
        <v>266</v>
      </c>
      <c r="I482" s="1023" t="s">
        <v>606</v>
      </c>
      <c r="J482" s="547" t="s">
        <v>186</v>
      </c>
      <c r="K482" s="547" t="s">
        <v>267</v>
      </c>
      <c r="L482" s="94"/>
      <c r="M482" s="94"/>
      <c r="N482" s="95"/>
      <c r="O482" s="95"/>
      <c r="P482" s="95"/>
      <c r="Q482" s="95"/>
      <c r="R482" s="95"/>
    </row>
    <row r="483" spans="1:18" s="96" customFormat="1" ht="120.75" customHeight="1">
      <c r="A483" s="121"/>
      <c r="B483" s="298" t="s">
        <v>491</v>
      </c>
      <c r="C483" s="133" t="s">
        <v>605</v>
      </c>
      <c r="D483" s="134" t="s">
        <v>603</v>
      </c>
      <c r="E483" s="134" t="s">
        <v>604</v>
      </c>
      <c r="F483" s="134" t="s">
        <v>243</v>
      </c>
      <c r="G483" s="134" t="s">
        <v>211</v>
      </c>
      <c r="H483" s="134" t="s">
        <v>212</v>
      </c>
      <c r="I483" s="140" t="s">
        <v>244</v>
      </c>
      <c r="J483" s="140" t="s">
        <v>54</v>
      </c>
      <c r="K483" s="141" t="s">
        <v>245</v>
      </c>
      <c r="L483" s="94" t="s">
        <v>32</v>
      </c>
      <c r="M483" s="94" t="s">
        <v>28</v>
      </c>
      <c r="N483" s="95">
        <v>178.25800000000001</v>
      </c>
      <c r="O483" s="95">
        <v>101.877</v>
      </c>
      <c r="P483" s="95">
        <v>186.5</v>
      </c>
      <c r="Q483" s="95">
        <v>186.5</v>
      </c>
      <c r="R483" s="95">
        <v>186.5</v>
      </c>
    </row>
    <row r="484" spans="1:18" s="96" customFormat="1" ht="108" customHeight="1">
      <c r="A484" s="121"/>
      <c r="B484" s="94"/>
      <c r="C484" s="138" t="s">
        <v>333</v>
      </c>
      <c r="D484" s="138" t="s">
        <v>334</v>
      </c>
      <c r="E484" s="138" t="s">
        <v>335</v>
      </c>
      <c r="F484" s="138" t="s">
        <v>336</v>
      </c>
      <c r="G484" s="138" t="s">
        <v>337</v>
      </c>
      <c r="H484" s="138" t="s">
        <v>47</v>
      </c>
      <c r="I484" s="138" t="s">
        <v>813</v>
      </c>
      <c r="J484" s="139" t="s">
        <v>56</v>
      </c>
      <c r="K484" s="139" t="s">
        <v>329</v>
      </c>
      <c r="L484" s="94" t="s">
        <v>32</v>
      </c>
      <c r="M484" s="94" t="s">
        <v>30</v>
      </c>
      <c r="N484" s="95">
        <v>1543.703</v>
      </c>
      <c r="O484" s="95">
        <v>1543.703</v>
      </c>
      <c r="P484" s="95">
        <v>1609.77</v>
      </c>
      <c r="Q484" s="95">
        <v>1609.77</v>
      </c>
      <c r="R484" s="95">
        <v>1609.77</v>
      </c>
    </row>
    <row r="485" spans="1:18" s="96" customFormat="1" ht="97.5" customHeight="1">
      <c r="A485" s="121"/>
      <c r="B485" s="94"/>
      <c r="C485" s="1040" t="s">
        <v>246</v>
      </c>
      <c r="D485" s="1040" t="s">
        <v>247</v>
      </c>
      <c r="E485" s="303" t="s">
        <v>248</v>
      </c>
      <c r="F485" s="1040" t="s">
        <v>249</v>
      </c>
      <c r="G485" s="1040" t="s">
        <v>224</v>
      </c>
      <c r="H485" s="1040" t="s">
        <v>512</v>
      </c>
      <c r="I485" s="1040" t="s">
        <v>513</v>
      </c>
      <c r="J485" s="303" t="s">
        <v>68</v>
      </c>
      <c r="K485" s="303" t="s">
        <v>252</v>
      </c>
      <c r="L485" s="94"/>
      <c r="M485" s="94"/>
      <c r="N485" s="95"/>
      <c r="O485" s="95"/>
      <c r="P485" s="95"/>
      <c r="Q485" s="95"/>
      <c r="R485" s="95"/>
    </row>
    <row r="486" spans="1:18" s="62" customFormat="1" ht="118.5" customHeight="1">
      <c r="A486" s="30"/>
      <c r="B486" s="1012" t="s">
        <v>576</v>
      </c>
      <c r="C486" s="1023" t="s">
        <v>156</v>
      </c>
      <c r="D486" s="1023" t="s">
        <v>197</v>
      </c>
      <c r="E486" s="1023" t="s">
        <v>235</v>
      </c>
      <c r="F486" s="1023" t="s">
        <v>236</v>
      </c>
      <c r="G486" s="1023" t="s">
        <v>98</v>
      </c>
      <c r="H486" s="1023" t="s">
        <v>237</v>
      </c>
      <c r="I486" s="1023" t="s">
        <v>871</v>
      </c>
      <c r="J486" s="1023" t="s">
        <v>68</v>
      </c>
      <c r="K486" s="1023" t="s">
        <v>238</v>
      </c>
      <c r="L486" s="151"/>
      <c r="M486" s="94"/>
      <c r="N486" s="95"/>
      <c r="O486" s="95"/>
      <c r="P486" s="95"/>
      <c r="Q486" s="95"/>
      <c r="R486" s="95"/>
    </row>
    <row r="487" spans="1:18" s="62" customFormat="1" ht="77.25" customHeight="1">
      <c r="A487" s="30"/>
      <c r="B487" s="1288" t="s">
        <v>577</v>
      </c>
      <c r="C487" s="1194" t="s">
        <v>156</v>
      </c>
      <c r="D487" s="1194" t="s">
        <v>197</v>
      </c>
      <c r="E487" s="1194" t="s">
        <v>158</v>
      </c>
      <c r="F487" s="1194" t="s">
        <v>198</v>
      </c>
      <c r="G487" s="1194" t="s">
        <v>199</v>
      </c>
      <c r="H487" s="1194" t="s">
        <v>200</v>
      </c>
      <c r="I487" s="1194" t="s">
        <v>871</v>
      </c>
      <c r="J487" s="1194" t="s">
        <v>68</v>
      </c>
      <c r="K487" s="1194" t="s">
        <v>202</v>
      </c>
      <c r="L487" s="317" t="s">
        <v>19</v>
      </c>
      <c r="M487" s="317" t="s">
        <v>29</v>
      </c>
      <c r="N487" s="318">
        <v>15.989000000000001</v>
      </c>
      <c r="O487" s="853">
        <v>15.989000000000001</v>
      </c>
      <c r="P487" s="318">
        <v>16.777999999999999</v>
      </c>
      <c r="Q487" s="318">
        <v>16.687000000000001</v>
      </c>
      <c r="R487" s="318">
        <v>16.687000000000001</v>
      </c>
    </row>
    <row r="488" spans="1:18" s="96" customFormat="1" ht="80.25" customHeight="1">
      <c r="A488" s="122"/>
      <c r="B488" s="1289"/>
      <c r="C488" s="1195"/>
      <c r="D488" s="1195"/>
      <c r="E488" s="1195"/>
      <c r="F488" s="1195"/>
      <c r="G488" s="1195"/>
      <c r="H488" s="1195"/>
      <c r="I488" s="1195"/>
      <c r="J488" s="1195"/>
      <c r="K488" s="1195"/>
      <c r="L488" s="319"/>
      <c r="M488" s="319"/>
      <c r="N488" s="320"/>
      <c r="O488" s="567"/>
      <c r="P488" s="320"/>
      <c r="Q488" s="320"/>
      <c r="R488" s="320"/>
    </row>
    <row r="489" spans="1:18" s="62" customFormat="1" ht="14.25" customHeight="1">
      <c r="A489" s="1290" t="s">
        <v>778</v>
      </c>
      <c r="B489" s="1032">
        <v>1802</v>
      </c>
      <c r="C489" s="1039"/>
      <c r="D489" s="1039"/>
      <c r="E489" s="87"/>
      <c r="F489" s="1039"/>
      <c r="G489" s="1039"/>
      <c r="H489" s="1039"/>
      <c r="I489" s="1039"/>
      <c r="J489" s="1039"/>
      <c r="K489" s="1039"/>
      <c r="L489" s="1032"/>
      <c r="M489" s="1032"/>
      <c r="N489" s="56">
        <f t="shared" ref="N489:Q489" si="57">SUM(N490:N501)</f>
        <v>4895.6020000000008</v>
      </c>
      <c r="O489" s="56">
        <f t="shared" si="57"/>
        <v>4517.8249999999998</v>
      </c>
      <c r="P489" s="56">
        <f t="shared" si="57"/>
        <v>5631.6550000000007</v>
      </c>
      <c r="Q489" s="56">
        <f t="shared" si="57"/>
        <v>5631.7460000000001</v>
      </c>
      <c r="R489" s="56">
        <f t="shared" ref="R489" si="58">SUM(R490:R501)</f>
        <v>5631.7460000000001</v>
      </c>
    </row>
    <row r="490" spans="1:18" s="96" customFormat="1" ht="132.75" customHeight="1">
      <c r="A490" s="1255"/>
      <c r="B490" s="436" t="s">
        <v>485</v>
      </c>
      <c r="C490" s="974" t="s">
        <v>179</v>
      </c>
      <c r="D490" s="974" t="s">
        <v>525</v>
      </c>
      <c r="E490" s="974" t="s">
        <v>180</v>
      </c>
      <c r="F490" s="974" t="s">
        <v>181</v>
      </c>
      <c r="G490" s="974" t="s">
        <v>526</v>
      </c>
      <c r="H490" s="974" t="s">
        <v>182</v>
      </c>
      <c r="I490" s="974" t="s">
        <v>631</v>
      </c>
      <c r="J490" s="376" t="s">
        <v>183</v>
      </c>
      <c r="K490" s="376" t="s">
        <v>184</v>
      </c>
      <c r="L490" s="94" t="s">
        <v>28</v>
      </c>
      <c r="M490" s="94" t="s">
        <v>32</v>
      </c>
      <c r="N490" s="95">
        <v>4173.9520000000002</v>
      </c>
      <c r="O490" s="95">
        <v>3865.0279999999998</v>
      </c>
      <c r="P490" s="95">
        <v>4883.9030000000002</v>
      </c>
      <c r="Q490" s="95">
        <v>4883.9030000000002</v>
      </c>
      <c r="R490" s="95">
        <v>4883.9030000000002</v>
      </c>
    </row>
    <row r="491" spans="1:18" s="96" customFormat="1" ht="108" customHeight="1">
      <c r="A491" s="1255"/>
      <c r="B491" s="1012" t="s">
        <v>486</v>
      </c>
      <c r="C491" s="1023" t="s">
        <v>220</v>
      </c>
      <c r="D491" s="1023" t="s">
        <v>221</v>
      </c>
      <c r="E491" s="1023" t="s">
        <v>222</v>
      </c>
      <c r="F491" s="1023" t="s">
        <v>223</v>
      </c>
      <c r="G491" s="1023" t="s">
        <v>224</v>
      </c>
      <c r="H491" s="375" t="s">
        <v>217</v>
      </c>
      <c r="I491" s="1039" t="s">
        <v>225</v>
      </c>
      <c r="J491" s="1039" t="s">
        <v>68</v>
      </c>
      <c r="K491" s="1023" t="s">
        <v>226</v>
      </c>
      <c r="L491" s="23"/>
      <c r="M491" s="23"/>
      <c r="N491" s="95"/>
      <c r="O491" s="95"/>
      <c r="P491" s="95"/>
      <c r="Q491" s="95"/>
      <c r="R491" s="95"/>
    </row>
    <row r="492" spans="1:18" s="96" customFormat="1" ht="120" customHeight="1">
      <c r="A492" s="1255"/>
      <c r="B492" s="97"/>
      <c r="C492" s="1023" t="s">
        <v>227</v>
      </c>
      <c r="D492" s="1023" t="s">
        <v>228</v>
      </c>
      <c r="E492" s="1023" t="s">
        <v>229</v>
      </c>
      <c r="F492" s="1023" t="s">
        <v>230</v>
      </c>
      <c r="G492" s="1023" t="s">
        <v>231</v>
      </c>
      <c r="H492" s="1023" t="s">
        <v>232</v>
      </c>
      <c r="I492" s="1039" t="s">
        <v>233</v>
      </c>
      <c r="J492" s="1039" t="s">
        <v>68</v>
      </c>
      <c r="K492" s="1039" t="s">
        <v>234</v>
      </c>
      <c r="L492" s="94"/>
      <c r="M492" s="94"/>
      <c r="N492" s="95"/>
      <c r="O492" s="95"/>
      <c r="P492" s="95"/>
      <c r="Q492" s="95"/>
      <c r="R492" s="95"/>
    </row>
    <row r="493" spans="1:18" s="96" customFormat="1" ht="120.75" customHeight="1">
      <c r="A493" s="121"/>
      <c r="B493" s="298" t="s">
        <v>487</v>
      </c>
      <c r="C493" s="1023" t="s">
        <v>156</v>
      </c>
      <c r="D493" s="1023" t="s">
        <v>197</v>
      </c>
      <c r="E493" s="1023" t="s">
        <v>235</v>
      </c>
      <c r="F493" s="1023" t="s">
        <v>236</v>
      </c>
      <c r="G493" s="1023" t="s">
        <v>98</v>
      </c>
      <c r="H493" s="1023" t="s">
        <v>237</v>
      </c>
      <c r="I493" s="1023" t="s">
        <v>871</v>
      </c>
      <c r="J493" s="1023" t="s">
        <v>68</v>
      </c>
      <c r="K493" s="1023" t="s">
        <v>238</v>
      </c>
      <c r="L493" s="94"/>
      <c r="M493" s="94"/>
      <c r="N493" s="95"/>
      <c r="O493" s="95"/>
      <c r="P493" s="95"/>
      <c r="Q493" s="95"/>
      <c r="R493" s="95"/>
    </row>
    <row r="494" spans="1:18" s="96" customFormat="1" ht="156.75" customHeight="1">
      <c r="A494" s="121"/>
      <c r="B494" s="298" t="s">
        <v>488</v>
      </c>
      <c r="C494" s="1028" t="s">
        <v>338</v>
      </c>
      <c r="D494" s="29" t="s">
        <v>339</v>
      </c>
      <c r="E494" s="1028" t="s">
        <v>340</v>
      </c>
      <c r="F494" s="1023" t="s">
        <v>239</v>
      </c>
      <c r="G494" s="1023" t="s">
        <v>240</v>
      </c>
      <c r="H494" s="375" t="s">
        <v>217</v>
      </c>
      <c r="I494" s="1023" t="s">
        <v>241</v>
      </c>
      <c r="J494" s="375" t="s">
        <v>68</v>
      </c>
      <c r="K494" s="375" t="s">
        <v>242</v>
      </c>
      <c r="L494" s="94"/>
      <c r="M494" s="94"/>
      <c r="N494" s="95"/>
      <c r="O494" s="95"/>
      <c r="P494" s="95"/>
      <c r="Q494" s="95"/>
      <c r="R494" s="95"/>
    </row>
    <row r="495" spans="1:18" s="96" customFormat="1" ht="217.5" customHeight="1">
      <c r="A495" s="121"/>
      <c r="B495" s="298" t="s">
        <v>489</v>
      </c>
      <c r="C495" s="1023" t="s">
        <v>651</v>
      </c>
      <c r="D495" s="1023" t="s">
        <v>652</v>
      </c>
      <c r="E495" s="1023" t="s">
        <v>653</v>
      </c>
      <c r="F495" s="1039" t="s">
        <v>253</v>
      </c>
      <c r="G495" s="1039" t="s">
        <v>254</v>
      </c>
      <c r="H495" s="87" t="s">
        <v>255</v>
      </c>
      <c r="I495" s="1039" t="s">
        <v>540</v>
      </c>
      <c r="J495" s="87" t="s">
        <v>256</v>
      </c>
      <c r="K495" s="88" t="s">
        <v>257</v>
      </c>
      <c r="L495" s="94"/>
      <c r="M495" s="94"/>
      <c r="N495" s="95"/>
      <c r="O495" s="95"/>
      <c r="P495" s="95"/>
      <c r="Q495" s="95"/>
      <c r="R495" s="95"/>
    </row>
    <row r="496" spans="1:18" s="96" customFormat="1" ht="180" customHeight="1">
      <c r="A496" s="121"/>
      <c r="B496" s="298" t="s">
        <v>490</v>
      </c>
      <c r="C496" s="1023" t="s">
        <v>262</v>
      </c>
      <c r="D496" s="1023" t="s">
        <v>263</v>
      </c>
      <c r="E496" s="375" t="s">
        <v>264</v>
      </c>
      <c r="F496" s="1023" t="s">
        <v>265</v>
      </c>
      <c r="G496" s="1023" t="s">
        <v>539</v>
      </c>
      <c r="H496" s="1023" t="s">
        <v>266</v>
      </c>
      <c r="I496" s="1023" t="s">
        <v>606</v>
      </c>
      <c r="J496" s="547" t="s">
        <v>186</v>
      </c>
      <c r="K496" s="547" t="s">
        <v>267</v>
      </c>
      <c r="L496" s="94"/>
      <c r="M496" s="94"/>
      <c r="N496" s="95"/>
      <c r="O496" s="95"/>
      <c r="P496" s="95"/>
      <c r="Q496" s="95"/>
      <c r="R496" s="95"/>
    </row>
    <row r="497" spans="1:18" s="96" customFormat="1" ht="96.75" customHeight="1">
      <c r="A497" s="121"/>
      <c r="B497" s="298" t="s">
        <v>491</v>
      </c>
      <c r="C497" s="133" t="s">
        <v>605</v>
      </c>
      <c r="D497" s="134" t="s">
        <v>603</v>
      </c>
      <c r="E497" s="134" t="s">
        <v>604</v>
      </c>
      <c r="F497" s="134" t="s">
        <v>243</v>
      </c>
      <c r="G497" s="134" t="s">
        <v>211</v>
      </c>
      <c r="H497" s="134" t="s">
        <v>212</v>
      </c>
      <c r="I497" s="140" t="s">
        <v>244</v>
      </c>
      <c r="J497" s="140" t="s">
        <v>54</v>
      </c>
      <c r="K497" s="141" t="s">
        <v>245</v>
      </c>
      <c r="L497" s="94" t="s">
        <v>32</v>
      </c>
      <c r="M497" s="94" t="s">
        <v>28</v>
      </c>
      <c r="N497" s="95">
        <v>56.241999999999997</v>
      </c>
      <c r="O497" s="95">
        <v>33.167000000000002</v>
      </c>
      <c r="P497" s="95">
        <v>58.5</v>
      </c>
      <c r="Q497" s="95">
        <v>58.5</v>
      </c>
      <c r="R497" s="95">
        <v>58.5</v>
      </c>
    </row>
    <row r="498" spans="1:18" s="96" customFormat="1" ht="108.75" customHeight="1">
      <c r="A498" s="121"/>
      <c r="B498" s="298" t="s">
        <v>514</v>
      </c>
      <c r="C498" s="138" t="s">
        <v>333</v>
      </c>
      <c r="D498" s="138" t="s">
        <v>334</v>
      </c>
      <c r="E498" s="138" t="s">
        <v>335</v>
      </c>
      <c r="F498" s="138" t="s">
        <v>336</v>
      </c>
      <c r="G498" s="138" t="s">
        <v>337</v>
      </c>
      <c r="H498" s="138" t="s">
        <v>47</v>
      </c>
      <c r="I498" s="138" t="s">
        <v>813</v>
      </c>
      <c r="J498" s="139" t="s">
        <v>56</v>
      </c>
      <c r="K498" s="139" t="s">
        <v>329</v>
      </c>
      <c r="L498" s="94" t="s">
        <v>32</v>
      </c>
      <c r="M498" s="94" t="s">
        <v>30</v>
      </c>
      <c r="N498" s="95">
        <v>658.49699999999996</v>
      </c>
      <c r="O498" s="95">
        <v>614.80100000000004</v>
      </c>
      <c r="P498" s="95">
        <v>682.13</v>
      </c>
      <c r="Q498" s="95">
        <v>682.13</v>
      </c>
      <c r="R498" s="95">
        <v>682.13</v>
      </c>
    </row>
    <row r="499" spans="1:18" s="96" customFormat="1" ht="97.5" customHeight="1">
      <c r="A499" s="121"/>
      <c r="B499" s="298" t="s">
        <v>515</v>
      </c>
      <c r="C499" s="1040" t="s">
        <v>246</v>
      </c>
      <c r="D499" s="1040" t="s">
        <v>247</v>
      </c>
      <c r="E499" s="1040" t="s">
        <v>248</v>
      </c>
      <c r="F499" s="1040" t="s">
        <v>249</v>
      </c>
      <c r="G499" s="1040" t="s">
        <v>516</v>
      </c>
      <c r="H499" s="1040" t="s">
        <v>512</v>
      </c>
      <c r="I499" s="1040" t="s">
        <v>513</v>
      </c>
      <c r="J499" s="303" t="s">
        <v>68</v>
      </c>
      <c r="K499" s="303" t="s">
        <v>252</v>
      </c>
      <c r="L499" s="94"/>
      <c r="M499" s="94"/>
      <c r="N499" s="95"/>
      <c r="O499" s="95"/>
      <c r="P499" s="95"/>
      <c r="Q499" s="95"/>
      <c r="R499" s="95"/>
    </row>
    <row r="500" spans="1:18" s="62" customFormat="1" ht="131.25" customHeight="1">
      <c r="A500" s="30"/>
      <c r="B500" s="1012" t="s">
        <v>576</v>
      </c>
      <c r="C500" s="1023" t="s">
        <v>156</v>
      </c>
      <c r="D500" s="1023" t="s">
        <v>197</v>
      </c>
      <c r="E500" s="1023" t="s">
        <v>235</v>
      </c>
      <c r="F500" s="1023" t="s">
        <v>236</v>
      </c>
      <c r="G500" s="1023" t="s">
        <v>98</v>
      </c>
      <c r="H500" s="1023" t="s">
        <v>237</v>
      </c>
      <c r="I500" s="1023" t="s">
        <v>871</v>
      </c>
      <c r="J500" s="1023" t="s">
        <v>68</v>
      </c>
      <c r="K500" s="1023" t="s">
        <v>238</v>
      </c>
      <c r="L500" s="151" t="s">
        <v>36</v>
      </c>
      <c r="M500" s="94" t="s">
        <v>30</v>
      </c>
      <c r="N500" s="95">
        <v>0</v>
      </c>
      <c r="O500" s="95">
        <v>0</v>
      </c>
      <c r="P500" s="95">
        <v>0</v>
      </c>
      <c r="Q500" s="95">
        <v>0</v>
      </c>
      <c r="R500" s="95">
        <v>0</v>
      </c>
    </row>
    <row r="501" spans="1:18" s="96" customFormat="1" ht="156" customHeight="1">
      <c r="A501" s="326"/>
      <c r="B501" s="327" t="s">
        <v>492</v>
      </c>
      <c r="C501" s="325" t="s">
        <v>156</v>
      </c>
      <c r="D501" s="325" t="s">
        <v>197</v>
      </c>
      <c r="E501" s="325" t="s">
        <v>158</v>
      </c>
      <c r="F501" s="325" t="s">
        <v>198</v>
      </c>
      <c r="G501" s="325" t="s">
        <v>199</v>
      </c>
      <c r="H501" s="325" t="s">
        <v>200</v>
      </c>
      <c r="I501" s="325" t="s">
        <v>871</v>
      </c>
      <c r="J501" s="325" t="s">
        <v>68</v>
      </c>
      <c r="K501" s="325" t="s">
        <v>202</v>
      </c>
      <c r="L501" s="328" t="s">
        <v>19</v>
      </c>
      <c r="M501" s="328" t="s">
        <v>29</v>
      </c>
      <c r="N501" s="329">
        <v>6.9109999999999996</v>
      </c>
      <c r="O501" s="853">
        <v>4.8289999999999997</v>
      </c>
      <c r="P501" s="329">
        <v>7.1219999999999999</v>
      </c>
      <c r="Q501" s="329">
        <v>7.2130000000000001</v>
      </c>
      <c r="R501" s="329">
        <v>7.2130000000000001</v>
      </c>
    </row>
    <row r="502" spans="1:18" s="62" customFormat="1" ht="131.25" customHeight="1">
      <c r="A502" s="53" t="s">
        <v>1554</v>
      </c>
      <c r="B502" s="298" t="s">
        <v>839</v>
      </c>
      <c r="C502" s="1039" t="s">
        <v>179</v>
      </c>
      <c r="D502" s="1039" t="s">
        <v>525</v>
      </c>
      <c r="E502" s="1039" t="s">
        <v>180</v>
      </c>
      <c r="F502" s="1039" t="s">
        <v>181</v>
      </c>
      <c r="G502" s="1039" t="s">
        <v>526</v>
      </c>
      <c r="H502" s="1039" t="s">
        <v>182</v>
      </c>
      <c r="I502" s="1039" t="s">
        <v>644</v>
      </c>
      <c r="J502" s="1039" t="s">
        <v>183</v>
      </c>
      <c r="K502" s="1039" t="s">
        <v>184</v>
      </c>
      <c r="L502" s="298" t="s">
        <v>28</v>
      </c>
      <c r="M502" s="298" t="s">
        <v>22</v>
      </c>
      <c r="N502" s="56">
        <v>1108.5999999999999</v>
      </c>
      <c r="O502" s="56">
        <v>1108.5999999999999</v>
      </c>
      <c r="P502" s="56">
        <v>1153.8</v>
      </c>
      <c r="Q502" s="56">
        <v>1153.8</v>
      </c>
      <c r="R502" s="56">
        <v>1153.8</v>
      </c>
    </row>
    <row r="503" spans="1:18" s="62" customFormat="1" ht="120" customHeight="1">
      <c r="A503" s="228" t="s">
        <v>1555</v>
      </c>
      <c r="B503" s="546">
        <v>1805</v>
      </c>
      <c r="C503" s="1020" t="s">
        <v>333</v>
      </c>
      <c r="D503" s="1020" t="s">
        <v>334</v>
      </c>
      <c r="E503" s="1020" t="s">
        <v>335</v>
      </c>
      <c r="F503" s="1189" t="s">
        <v>336</v>
      </c>
      <c r="G503" s="1189" t="s">
        <v>337</v>
      </c>
      <c r="H503" s="1189" t="s">
        <v>47</v>
      </c>
      <c r="I503" s="1189" t="s">
        <v>813</v>
      </c>
      <c r="J503" s="1191" t="s">
        <v>56</v>
      </c>
      <c r="K503" s="1191" t="s">
        <v>329</v>
      </c>
      <c r="L503" s="546" t="s">
        <v>32</v>
      </c>
      <c r="M503" s="546" t="s">
        <v>30</v>
      </c>
      <c r="N503" s="1135">
        <f>5264.191+4332.898</f>
        <v>9597.0889999999999</v>
      </c>
      <c r="O503" s="465">
        <f>5264.191+4332.898</f>
        <v>9597.0889999999999</v>
      </c>
      <c r="P503" s="1135">
        <v>9873.3430000000008</v>
      </c>
      <c r="Q503" s="1135">
        <v>7475.3140000000003</v>
      </c>
      <c r="R503" s="1135">
        <v>7465.8770000000004</v>
      </c>
    </row>
    <row r="504" spans="1:18" s="62" customFormat="1" ht="59.25" hidden="1" customHeight="1">
      <c r="A504" s="25"/>
      <c r="B504" s="1065"/>
      <c r="C504" s="1026" t="s">
        <v>324</v>
      </c>
      <c r="D504" s="1026" t="s">
        <v>54</v>
      </c>
      <c r="E504" s="1026" t="s">
        <v>325</v>
      </c>
      <c r="F504" s="1189"/>
      <c r="G504" s="1189"/>
      <c r="H504" s="1189"/>
      <c r="I504" s="1196"/>
      <c r="J504" s="1192"/>
      <c r="K504" s="1192"/>
      <c r="L504" s="1065"/>
      <c r="M504" s="1065"/>
      <c r="N504" s="176"/>
      <c r="O504" s="568"/>
      <c r="P504" s="80"/>
      <c r="Q504" s="80"/>
      <c r="R504" s="80"/>
    </row>
    <row r="505" spans="1:18" s="62" customFormat="1" ht="180.75" hidden="1" customHeight="1">
      <c r="A505" s="59" t="s">
        <v>623</v>
      </c>
      <c r="B505" s="1086">
        <v>1807</v>
      </c>
      <c r="C505" s="138" t="s">
        <v>333</v>
      </c>
      <c r="D505" s="138" t="s">
        <v>831</v>
      </c>
      <c r="E505" s="138" t="s">
        <v>335</v>
      </c>
      <c r="F505" s="1190"/>
      <c r="G505" s="1190"/>
      <c r="H505" s="1190"/>
      <c r="I505" s="1197"/>
      <c r="J505" s="1193"/>
      <c r="K505" s="1193"/>
      <c r="L505" s="1086" t="s">
        <v>32</v>
      </c>
      <c r="M505" s="1086" t="s">
        <v>30</v>
      </c>
      <c r="N505" s="309"/>
      <c r="O505" s="519"/>
      <c r="P505" s="309"/>
      <c r="Q505" s="309"/>
      <c r="R505" s="309"/>
    </row>
    <row r="506" spans="1:18" s="62" customFormat="1" ht="59.25" hidden="1" customHeight="1">
      <c r="A506" s="29" t="s">
        <v>461</v>
      </c>
      <c r="B506" s="1028" t="s">
        <v>462</v>
      </c>
      <c r="C506" s="1040" t="s">
        <v>156</v>
      </c>
      <c r="D506" s="1040" t="s">
        <v>197</v>
      </c>
      <c r="E506" s="1040" t="s">
        <v>158</v>
      </c>
      <c r="F506" s="1040" t="s">
        <v>198</v>
      </c>
      <c r="G506" s="1040" t="s">
        <v>199</v>
      </c>
      <c r="H506" s="1040" t="s">
        <v>200</v>
      </c>
      <c r="I506" s="1040" t="s">
        <v>201</v>
      </c>
      <c r="J506" s="1040" t="s">
        <v>68</v>
      </c>
      <c r="K506" s="1040" t="s">
        <v>202</v>
      </c>
      <c r="L506" s="1086" t="s">
        <v>19</v>
      </c>
      <c r="M506" s="1086" t="s">
        <v>29</v>
      </c>
      <c r="N506" s="213"/>
      <c r="O506" s="213"/>
      <c r="P506" s="78"/>
      <c r="Q506" s="78"/>
      <c r="R506" s="78"/>
    </row>
    <row r="507" spans="1:18" s="62" customFormat="1" ht="156">
      <c r="A507" s="59" t="s">
        <v>461</v>
      </c>
      <c r="B507" s="1086" t="s">
        <v>1548</v>
      </c>
      <c r="C507" s="1040" t="s">
        <v>156</v>
      </c>
      <c r="D507" s="1040" t="s">
        <v>197</v>
      </c>
      <c r="E507" s="1040" t="s">
        <v>158</v>
      </c>
      <c r="F507" s="1040" t="s">
        <v>198</v>
      </c>
      <c r="G507" s="1040" t="s">
        <v>199</v>
      </c>
      <c r="H507" s="1040" t="s">
        <v>200</v>
      </c>
      <c r="I507" s="138" t="s">
        <v>872</v>
      </c>
      <c r="J507" s="138" t="s">
        <v>54</v>
      </c>
      <c r="K507" s="138" t="s">
        <v>398</v>
      </c>
      <c r="L507" s="372" t="s">
        <v>19</v>
      </c>
      <c r="M507" s="372" t="s">
        <v>32</v>
      </c>
      <c r="N507" s="1136">
        <v>0</v>
      </c>
      <c r="O507" s="1137">
        <v>0</v>
      </c>
      <c r="P507" s="1136">
        <v>296.29599999999999</v>
      </c>
      <c r="Q507" s="1136">
        <v>9434.6479999999992</v>
      </c>
      <c r="R507" s="1136">
        <v>9478.0059999999994</v>
      </c>
    </row>
    <row r="508" spans="1:18" s="62" customFormat="1" ht="157.5" customHeight="1">
      <c r="A508" s="1272" t="s">
        <v>779</v>
      </c>
      <c r="B508" s="436" t="s">
        <v>787</v>
      </c>
      <c r="C508" s="1090" t="s">
        <v>214</v>
      </c>
      <c r="D508" s="974" t="s">
        <v>211</v>
      </c>
      <c r="E508" s="974" t="s">
        <v>215</v>
      </c>
      <c r="F508" s="974" t="s">
        <v>205</v>
      </c>
      <c r="G508" s="974" t="s">
        <v>216</v>
      </c>
      <c r="H508" s="376" t="s">
        <v>217</v>
      </c>
      <c r="I508" s="974" t="s">
        <v>565</v>
      </c>
      <c r="J508" s="974" t="s">
        <v>218</v>
      </c>
      <c r="K508" s="142" t="s">
        <v>219</v>
      </c>
      <c r="L508" s="1028" t="s">
        <v>36</v>
      </c>
      <c r="M508" s="1028" t="s">
        <v>31</v>
      </c>
      <c r="N508" s="8">
        <v>1493.76</v>
      </c>
      <c r="O508" s="519">
        <v>1493.76</v>
      </c>
      <c r="P508" s="8">
        <v>1926.1</v>
      </c>
      <c r="Q508" s="8">
        <v>1926.1</v>
      </c>
      <c r="R508" s="8">
        <v>1926.1</v>
      </c>
    </row>
    <row r="509" spans="1:18" s="62" customFormat="1" ht="156" customHeight="1">
      <c r="A509" s="1273"/>
      <c r="B509" s="436" t="s">
        <v>1549</v>
      </c>
      <c r="C509" s="1091" t="s">
        <v>203</v>
      </c>
      <c r="D509" s="272" t="s">
        <v>152</v>
      </c>
      <c r="E509" s="272" t="s">
        <v>204</v>
      </c>
      <c r="F509" s="272" t="s">
        <v>205</v>
      </c>
      <c r="G509" s="272" t="s">
        <v>206</v>
      </c>
      <c r="H509" s="272" t="s">
        <v>182</v>
      </c>
      <c r="I509" s="272" t="s">
        <v>873</v>
      </c>
      <c r="J509" s="136" t="s">
        <v>207</v>
      </c>
      <c r="K509" s="137" t="s">
        <v>208</v>
      </c>
      <c r="L509" s="1028" t="s">
        <v>19</v>
      </c>
      <c r="M509" s="1028" t="s">
        <v>32</v>
      </c>
      <c r="N509" s="8">
        <v>37676.5</v>
      </c>
      <c r="O509" s="519">
        <v>30394.511999999999</v>
      </c>
      <c r="P509" s="8">
        <v>44103.9</v>
      </c>
      <c r="Q509" s="8">
        <v>44103.9</v>
      </c>
      <c r="R509" s="8">
        <v>44103.9</v>
      </c>
    </row>
    <row r="510" spans="1:18" s="62" customFormat="1" ht="96.75" customHeight="1">
      <c r="A510" s="29" t="s">
        <v>1556</v>
      </c>
      <c r="B510" s="1028" t="s">
        <v>568</v>
      </c>
      <c r="C510" s="1039" t="s">
        <v>246</v>
      </c>
      <c r="D510" s="1039" t="s">
        <v>247</v>
      </c>
      <c r="E510" s="1039" t="s">
        <v>248</v>
      </c>
      <c r="F510" s="1039" t="s">
        <v>249</v>
      </c>
      <c r="G510" s="1039" t="s">
        <v>224</v>
      </c>
      <c r="H510" s="1039" t="s">
        <v>250</v>
      </c>
      <c r="I510" s="1092" t="s">
        <v>251</v>
      </c>
      <c r="J510" s="1092" t="s">
        <v>54</v>
      </c>
      <c r="K510" s="1097" t="s">
        <v>252</v>
      </c>
      <c r="L510" s="1028" t="s">
        <v>32</v>
      </c>
      <c r="M510" s="1028" t="s">
        <v>30</v>
      </c>
      <c r="N510" s="8">
        <v>1839</v>
      </c>
      <c r="O510" s="519">
        <v>1838.63</v>
      </c>
      <c r="P510" s="8">
        <v>1588.5</v>
      </c>
      <c r="Q510" s="8">
        <v>1588.5</v>
      </c>
      <c r="R510" s="8">
        <v>1588.5</v>
      </c>
    </row>
    <row r="511" spans="1:18" s="62" customFormat="1" ht="36.75" customHeight="1">
      <c r="A511" s="1276" t="s">
        <v>1552</v>
      </c>
      <c r="B511" s="117" t="s">
        <v>554</v>
      </c>
      <c r="C511" s="1214" t="s">
        <v>189</v>
      </c>
      <c r="D511" s="1214" t="s">
        <v>191</v>
      </c>
      <c r="E511" s="1214" t="s">
        <v>190</v>
      </c>
      <c r="F511" s="1214" t="s">
        <v>192</v>
      </c>
      <c r="G511" s="1214" t="s">
        <v>193</v>
      </c>
      <c r="H511" s="1214" t="s">
        <v>194</v>
      </c>
      <c r="I511" s="1323" t="s">
        <v>195</v>
      </c>
      <c r="J511" s="1323" t="s">
        <v>58</v>
      </c>
      <c r="K511" s="1341" t="s">
        <v>196</v>
      </c>
      <c r="L511" s="114" t="s">
        <v>36</v>
      </c>
      <c r="M511" s="104" t="s">
        <v>28</v>
      </c>
      <c r="N511" s="1136">
        <v>831.52800000000002</v>
      </c>
      <c r="O511" s="1137">
        <v>810.69600000000003</v>
      </c>
      <c r="P511" s="1136">
        <v>862.77599999999995</v>
      </c>
      <c r="Q511" s="1136">
        <v>873.19200000000001</v>
      </c>
      <c r="R511" s="1136">
        <v>873.19200000000001</v>
      </c>
    </row>
    <row r="512" spans="1:18" s="62" customFormat="1" ht="23.25" customHeight="1">
      <c r="A512" s="1277"/>
      <c r="B512" s="147" t="s">
        <v>553</v>
      </c>
      <c r="C512" s="1214"/>
      <c r="D512" s="1214"/>
      <c r="E512" s="1214"/>
      <c r="F512" s="1214"/>
      <c r="G512" s="1214"/>
      <c r="H512" s="1214"/>
      <c r="I512" s="1323"/>
      <c r="J512" s="1323"/>
      <c r="K512" s="1341"/>
      <c r="L512" s="41" t="s">
        <v>36</v>
      </c>
      <c r="M512" s="372" t="s">
        <v>31</v>
      </c>
      <c r="N512" s="8">
        <v>756.024</v>
      </c>
      <c r="O512" s="519">
        <v>738.88499999999999</v>
      </c>
      <c r="P512" s="8">
        <v>918.72799999999995</v>
      </c>
      <c r="Q512" s="8">
        <v>939.56</v>
      </c>
      <c r="R512" s="8">
        <v>939.56</v>
      </c>
    </row>
    <row r="513" spans="1:18" s="62" customFormat="1" ht="97.5" customHeight="1">
      <c r="A513" s="1278"/>
      <c r="B513" s="1124"/>
      <c r="C513" s="1215"/>
      <c r="D513" s="1215"/>
      <c r="E513" s="1215"/>
      <c r="F513" s="1215"/>
      <c r="G513" s="1215"/>
      <c r="H513" s="1215"/>
      <c r="I513" s="1324"/>
      <c r="J513" s="1324"/>
      <c r="K513" s="1342"/>
      <c r="L513" s="41" t="s">
        <v>36</v>
      </c>
      <c r="M513" s="372" t="s">
        <v>35</v>
      </c>
      <c r="N513" s="8">
        <v>31.248000000000001</v>
      </c>
      <c r="O513" s="519">
        <v>31.248000000000001</v>
      </c>
      <c r="P513" s="8">
        <v>62.496000000000002</v>
      </c>
      <c r="Q513" s="8">
        <v>31.248000000000001</v>
      </c>
      <c r="R513" s="8">
        <v>31.248000000000001</v>
      </c>
    </row>
    <row r="514" spans="1:18" s="62" customFormat="1" ht="397.5" customHeight="1">
      <c r="A514" s="172" t="s">
        <v>1551</v>
      </c>
      <c r="B514" s="1032" t="s">
        <v>1550</v>
      </c>
      <c r="C514" s="1039" t="s">
        <v>189</v>
      </c>
      <c r="D514" s="1039" t="s">
        <v>209</v>
      </c>
      <c r="E514" s="1039" t="s">
        <v>190</v>
      </c>
      <c r="F514" s="1039" t="s">
        <v>210</v>
      </c>
      <c r="G514" s="1039" t="s">
        <v>211</v>
      </c>
      <c r="H514" s="1039" t="s">
        <v>212</v>
      </c>
      <c r="I514" s="1092" t="s">
        <v>864</v>
      </c>
      <c r="J514" s="1092" t="s">
        <v>54</v>
      </c>
      <c r="K514" s="1097" t="s">
        <v>213</v>
      </c>
      <c r="L514" s="1138" t="s">
        <v>36</v>
      </c>
      <c r="M514" s="1139" t="s">
        <v>31</v>
      </c>
      <c r="N514" s="1140">
        <v>128.6</v>
      </c>
      <c r="O514" s="1140">
        <v>117.994</v>
      </c>
      <c r="P514" s="1140">
        <v>71.8</v>
      </c>
      <c r="Q514" s="1140">
        <v>71.8</v>
      </c>
      <c r="R514" s="1140">
        <v>71.8</v>
      </c>
    </row>
    <row r="515" spans="1:18" s="63" customFormat="1" ht="60.75" customHeight="1">
      <c r="A515" s="1127" t="s">
        <v>702</v>
      </c>
      <c r="B515" s="1128">
        <v>2000</v>
      </c>
      <c r="C515" s="1129"/>
      <c r="D515" s="1129"/>
      <c r="E515" s="1130"/>
      <c r="F515" s="1129"/>
      <c r="G515" s="1129"/>
      <c r="H515" s="1129"/>
      <c r="I515" s="1129"/>
      <c r="J515" s="1131"/>
      <c r="K515" s="1131"/>
      <c r="L515" s="802"/>
      <c r="M515" s="802"/>
      <c r="N515" s="17">
        <f t="shared" ref="N515:Q515" si="59">SUM(N516:N519)</f>
        <v>774274.3</v>
      </c>
      <c r="O515" s="17">
        <f t="shared" si="59"/>
        <v>774259.50900000008</v>
      </c>
      <c r="P515" s="17">
        <f t="shared" si="59"/>
        <v>849367.2</v>
      </c>
      <c r="Q515" s="17">
        <f t="shared" si="59"/>
        <v>759232.1</v>
      </c>
      <c r="R515" s="17">
        <f t="shared" ref="R515" si="60">SUM(R516:R519)</f>
        <v>759232.1</v>
      </c>
    </row>
    <row r="516" spans="1:18" s="63" customFormat="1" ht="217.5" customHeight="1">
      <c r="A516" s="59" t="s">
        <v>624</v>
      </c>
      <c r="B516" s="68" t="s">
        <v>626</v>
      </c>
      <c r="C516" s="1218" t="s">
        <v>189</v>
      </c>
      <c r="D516" s="1218" t="s">
        <v>157</v>
      </c>
      <c r="E516" s="1218" t="s">
        <v>190</v>
      </c>
      <c r="F516" s="1370" t="s">
        <v>258</v>
      </c>
      <c r="G516" s="1218" t="s">
        <v>211</v>
      </c>
      <c r="H516" s="1218" t="s">
        <v>259</v>
      </c>
      <c r="I516" s="168" t="s">
        <v>572</v>
      </c>
      <c r="J516" s="1023" t="s">
        <v>54</v>
      </c>
      <c r="K516" s="157" t="s">
        <v>548</v>
      </c>
      <c r="L516" s="104" t="s">
        <v>36</v>
      </c>
      <c r="M516" s="372" t="s">
        <v>31</v>
      </c>
      <c r="N516" s="8">
        <f>323043+8196.7</f>
        <v>331239.7</v>
      </c>
      <c r="O516" s="519">
        <f>323043+8196.7</f>
        <v>331239.7</v>
      </c>
      <c r="P516" s="8">
        <v>362762.3</v>
      </c>
      <c r="Q516" s="8">
        <v>322702.90000000002</v>
      </c>
      <c r="R516" s="8">
        <v>322702.90000000002</v>
      </c>
    </row>
    <row r="517" spans="1:18" s="63" customFormat="1" ht="144.75" customHeight="1">
      <c r="A517" s="1276" t="s">
        <v>625</v>
      </c>
      <c r="B517" s="1280" t="s">
        <v>627</v>
      </c>
      <c r="C517" s="1196"/>
      <c r="D517" s="1196"/>
      <c r="E517" s="1196"/>
      <c r="F517" s="1371"/>
      <c r="G517" s="1196"/>
      <c r="H517" s="1196"/>
      <c r="I517" s="158" t="s">
        <v>924</v>
      </c>
      <c r="J517" s="974" t="s">
        <v>54</v>
      </c>
      <c r="K517" s="376" t="s">
        <v>323</v>
      </c>
      <c r="L517" s="321" t="s">
        <v>36</v>
      </c>
      <c r="M517" s="322" t="s">
        <v>31</v>
      </c>
      <c r="N517" s="323">
        <f>284153.8+11427.1</f>
        <v>295580.89999999997</v>
      </c>
      <c r="O517" s="519">
        <f>284139.009+11427.1</f>
        <v>295566.109</v>
      </c>
      <c r="P517" s="323">
        <v>324923.90000000002</v>
      </c>
      <c r="Q517" s="323">
        <v>291773.09999999998</v>
      </c>
      <c r="R517" s="323">
        <v>291773.09999999998</v>
      </c>
    </row>
    <row r="518" spans="1:18" s="63" customFormat="1" ht="109.5" customHeight="1">
      <c r="A518" s="1279"/>
      <c r="B518" s="1281"/>
      <c r="C518" s="1196"/>
      <c r="D518" s="1196"/>
      <c r="E518" s="1196"/>
      <c r="F518" s="1371"/>
      <c r="G518" s="1196"/>
      <c r="H518" s="1196"/>
      <c r="I518" s="159" t="s">
        <v>547</v>
      </c>
      <c r="J518" s="156" t="s">
        <v>54</v>
      </c>
      <c r="K518" s="156" t="s">
        <v>548</v>
      </c>
      <c r="L518" s="324"/>
      <c r="M518" s="227"/>
      <c r="N518" s="146"/>
      <c r="O518" s="569"/>
      <c r="P518" s="146"/>
      <c r="Q518" s="146"/>
      <c r="R518" s="146"/>
    </row>
    <row r="519" spans="1:18" s="62" customFormat="1" ht="215.25" customHeight="1">
      <c r="A519" s="1077" t="s">
        <v>463</v>
      </c>
      <c r="B519" s="371" t="s">
        <v>484</v>
      </c>
      <c r="C519" s="1197"/>
      <c r="D519" s="1197"/>
      <c r="E519" s="1197"/>
      <c r="F519" s="1372"/>
      <c r="G519" s="1197"/>
      <c r="H519" s="1197"/>
      <c r="I519" s="183" t="s">
        <v>260</v>
      </c>
      <c r="J519" s="868" t="s">
        <v>54</v>
      </c>
      <c r="K519" s="429" t="s">
        <v>261</v>
      </c>
      <c r="L519" s="1015" t="s">
        <v>36</v>
      </c>
      <c r="M519" s="40" t="s">
        <v>28</v>
      </c>
      <c r="N519" s="220">
        <v>147453.70000000001</v>
      </c>
      <c r="O519" s="220">
        <v>147453.70000000001</v>
      </c>
      <c r="P519" s="220">
        <v>161681</v>
      </c>
      <c r="Q519" s="220">
        <v>144756.1</v>
      </c>
      <c r="R519" s="220">
        <v>144756.1</v>
      </c>
    </row>
    <row r="520" spans="1:18" s="63" customFormat="1" ht="83.25" customHeight="1">
      <c r="A520" s="16" t="s">
        <v>703</v>
      </c>
      <c r="B520" s="802">
        <v>2100</v>
      </c>
      <c r="C520" s="802" t="s">
        <v>25</v>
      </c>
      <c r="D520" s="802" t="s">
        <v>25</v>
      </c>
      <c r="E520" s="802" t="s">
        <v>25</v>
      </c>
      <c r="F520" s="802" t="s">
        <v>25</v>
      </c>
      <c r="G520" s="802" t="s">
        <v>25</v>
      </c>
      <c r="H520" s="802" t="s">
        <v>25</v>
      </c>
      <c r="I520" s="802" t="s">
        <v>25</v>
      </c>
      <c r="J520" s="802" t="s">
        <v>25</v>
      </c>
      <c r="K520" s="802" t="s">
        <v>25</v>
      </c>
      <c r="L520" s="435"/>
      <c r="M520" s="802"/>
      <c r="N520" s="17">
        <f t="shared" ref="N520:R520" si="61">N521+N526+N531</f>
        <v>385319.82999999996</v>
      </c>
      <c r="O520" s="17">
        <f t="shared" ref="O520" si="62">O521+O526+O531</f>
        <v>357910.73800000001</v>
      </c>
      <c r="P520" s="17">
        <f t="shared" si="61"/>
        <v>274936.179</v>
      </c>
      <c r="Q520" s="17">
        <f t="shared" si="61"/>
        <v>147792.79999999999</v>
      </c>
      <c r="R520" s="17">
        <f t="shared" si="61"/>
        <v>145216.5</v>
      </c>
    </row>
    <row r="521" spans="1:18" s="63" customFormat="1" ht="36">
      <c r="A521" s="43" t="s">
        <v>780</v>
      </c>
      <c r="B521" s="369">
        <v>2101</v>
      </c>
      <c r="C521" s="369"/>
      <c r="D521" s="369"/>
      <c r="E521" s="369"/>
      <c r="F521" s="369"/>
      <c r="G521" s="369"/>
      <c r="H521" s="369"/>
      <c r="I521" s="369"/>
      <c r="J521" s="369"/>
      <c r="K521" s="369"/>
      <c r="L521" s="369"/>
      <c r="M521" s="369"/>
      <c r="N521" s="51">
        <f t="shared" ref="N521:R521" si="63">SUM(N523:N525)</f>
        <v>61007.3</v>
      </c>
      <c r="O521" s="51">
        <f t="shared" ref="O521" si="64">SUM(O523:O525)</f>
        <v>61007.3</v>
      </c>
      <c r="P521" s="51">
        <f t="shared" si="63"/>
        <v>61100</v>
      </c>
      <c r="Q521" s="51">
        <f t="shared" si="63"/>
        <v>61100</v>
      </c>
      <c r="R521" s="51">
        <f t="shared" si="63"/>
        <v>61100</v>
      </c>
    </row>
    <row r="522" spans="1:18" s="63" customFormat="1" ht="12">
      <c r="A522" s="38" t="s">
        <v>76</v>
      </c>
      <c r="B522" s="1011"/>
      <c r="C522" s="1011"/>
      <c r="D522" s="1011"/>
      <c r="E522" s="1011"/>
      <c r="F522" s="1011"/>
      <c r="G522" s="1011"/>
      <c r="H522" s="1011"/>
      <c r="I522" s="1011"/>
      <c r="J522" s="1011"/>
      <c r="K522" s="1011"/>
      <c r="L522" s="1011"/>
      <c r="M522" s="1011"/>
      <c r="N522" s="52"/>
      <c r="O522" s="52"/>
      <c r="P522" s="52"/>
      <c r="Q522" s="52"/>
      <c r="R522" s="52"/>
    </row>
    <row r="523" spans="1:18" s="62" customFormat="1" ht="38.25" customHeight="1">
      <c r="A523" s="22" t="s">
        <v>1014</v>
      </c>
      <c r="B523" s="436" t="s">
        <v>407</v>
      </c>
      <c r="C523" s="11" t="s">
        <v>43</v>
      </c>
      <c r="D523" s="10" t="s">
        <v>269</v>
      </c>
      <c r="E523" s="11" t="s">
        <v>44</v>
      </c>
      <c r="F523" s="1293" t="s">
        <v>185</v>
      </c>
      <c r="G523" s="11" t="s">
        <v>186</v>
      </c>
      <c r="H523" s="11" t="s">
        <v>182</v>
      </c>
      <c r="I523" s="392" t="s">
        <v>963</v>
      </c>
      <c r="J523" s="534"/>
      <c r="K523" s="535"/>
      <c r="L523" s="1029" t="s">
        <v>23</v>
      </c>
      <c r="M523" s="1029" t="s">
        <v>28</v>
      </c>
      <c r="N523" s="175">
        <v>61007.3</v>
      </c>
      <c r="O523" s="213">
        <v>61007.3</v>
      </c>
      <c r="P523" s="78">
        <v>61100</v>
      </c>
      <c r="Q523" s="78">
        <v>61100</v>
      </c>
      <c r="R523" s="78">
        <v>61100</v>
      </c>
    </row>
    <row r="524" spans="1:18" s="62" customFormat="1" ht="81" customHeight="1">
      <c r="A524" s="228"/>
      <c r="B524" s="229"/>
      <c r="C524" s="1087"/>
      <c r="D524" s="392"/>
      <c r="E524" s="1087"/>
      <c r="F524" s="1294"/>
      <c r="G524" s="1087"/>
      <c r="H524" s="1087"/>
      <c r="I524" s="11" t="s">
        <v>187</v>
      </c>
      <c r="J524" s="12" t="s">
        <v>56</v>
      </c>
      <c r="K524" s="12" t="s">
        <v>188</v>
      </c>
      <c r="L524" s="1038"/>
      <c r="M524" s="1038"/>
      <c r="N524" s="213"/>
      <c r="O524" s="213"/>
      <c r="P524" s="78"/>
      <c r="Q524" s="78"/>
      <c r="R524" s="78"/>
    </row>
    <row r="525" spans="1:18" s="62" customFormat="1" ht="60">
      <c r="A525" s="22"/>
      <c r="B525" s="1029"/>
      <c r="C525" s="10"/>
      <c r="D525" s="10"/>
      <c r="E525" s="10"/>
      <c r="F525" s="10" t="s">
        <v>541</v>
      </c>
      <c r="G525" s="10" t="s">
        <v>270</v>
      </c>
      <c r="H525" s="10" t="s">
        <v>50</v>
      </c>
      <c r="I525" s="398" t="s">
        <v>639</v>
      </c>
      <c r="J525" s="10" t="s">
        <v>166</v>
      </c>
      <c r="K525" s="392" t="s">
        <v>271</v>
      </c>
      <c r="L525" s="1029"/>
      <c r="M525" s="1029"/>
      <c r="N525" s="175"/>
      <c r="O525" s="213"/>
      <c r="P525" s="78"/>
      <c r="Q525" s="78"/>
      <c r="R525" s="78"/>
    </row>
    <row r="526" spans="1:18" s="63" customFormat="1" ht="119.25" customHeight="1">
      <c r="A526" s="16" t="s">
        <v>781</v>
      </c>
      <c r="B526" s="802">
        <v>2105</v>
      </c>
      <c r="C526" s="802" t="s">
        <v>25</v>
      </c>
      <c r="D526" s="802" t="s">
        <v>25</v>
      </c>
      <c r="E526" s="802" t="s">
        <v>25</v>
      </c>
      <c r="F526" s="802" t="s">
        <v>25</v>
      </c>
      <c r="G526" s="802" t="s">
        <v>25</v>
      </c>
      <c r="H526" s="802" t="s">
        <v>25</v>
      </c>
      <c r="I526" s="802" t="s">
        <v>25</v>
      </c>
      <c r="J526" s="802" t="s">
        <v>25</v>
      </c>
      <c r="K526" s="802" t="s">
        <v>25</v>
      </c>
      <c r="L526" s="802"/>
      <c r="M526" s="802"/>
      <c r="N526" s="17">
        <f t="shared" ref="N526:R526" si="65">SUM(N527:N529)</f>
        <v>17657.758000000002</v>
      </c>
      <c r="O526" s="17">
        <f t="shared" si="65"/>
        <v>14791.589</v>
      </c>
      <c r="P526" s="17">
        <f t="shared" si="65"/>
        <v>9375.9</v>
      </c>
      <c r="Q526" s="17">
        <f t="shared" si="65"/>
        <v>2337</v>
      </c>
      <c r="R526" s="17">
        <f t="shared" si="65"/>
        <v>2561.9</v>
      </c>
    </row>
    <row r="527" spans="1:18" s="62" customFormat="1" ht="84.75" customHeight="1">
      <c r="A527" s="29" t="s">
        <v>782</v>
      </c>
      <c r="B527" s="1028" t="s">
        <v>628</v>
      </c>
      <c r="C527" s="1088" t="s">
        <v>272</v>
      </c>
      <c r="D527" s="1088" t="s">
        <v>273</v>
      </c>
      <c r="E527" s="1088" t="s">
        <v>274</v>
      </c>
      <c r="F527" s="1295" t="s">
        <v>650</v>
      </c>
      <c r="G527" s="1088" t="s">
        <v>649</v>
      </c>
      <c r="H527" s="1088" t="s">
        <v>583</v>
      </c>
      <c r="I527" s="1028" t="s">
        <v>845</v>
      </c>
      <c r="J527" s="29" t="s">
        <v>54</v>
      </c>
      <c r="K527" s="1028" t="s">
        <v>583</v>
      </c>
      <c r="L527" s="1028" t="s">
        <v>31</v>
      </c>
      <c r="M527" s="1028" t="s">
        <v>35</v>
      </c>
      <c r="N527" s="854">
        <v>1745.3</v>
      </c>
      <c r="O527" s="855">
        <v>1745.3</v>
      </c>
      <c r="P527" s="966">
        <v>2115.9</v>
      </c>
      <c r="Q527" s="966">
        <v>2337</v>
      </c>
      <c r="R527" s="966">
        <v>2561.9</v>
      </c>
    </row>
    <row r="528" spans="1:18" s="62" customFormat="1" ht="96.75" customHeight="1">
      <c r="A528" s="25"/>
      <c r="B528" s="1065"/>
      <c r="C528" s="1051"/>
      <c r="D528" s="1051"/>
      <c r="E528" s="1051"/>
      <c r="F528" s="1237"/>
      <c r="G528" s="1051"/>
      <c r="H528" s="1051"/>
      <c r="I528" s="1065" t="s">
        <v>865</v>
      </c>
      <c r="J528" s="25" t="s">
        <v>54</v>
      </c>
      <c r="K528" s="1065" t="s">
        <v>583</v>
      </c>
      <c r="L528" s="1065"/>
      <c r="M528" s="1065"/>
      <c r="N528" s="178"/>
      <c r="O528" s="570"/>
      <c r="P528" s="161"/>
      <c r="Q528" s="161"/>
      <c r="R528" s="161"/>
    </row>
    <row r="529" spans="1:18" s="62" customFormat="1" ht="72.75" customHeight="1">
      <c r="A529" s="22" t="s">
        <v>464</v>
      </c>
      <c r="B529" s="1029" t="s">
        <v>629</v>
      </c>
      <c r="C529" s="1196" t="s">
        <v>156</v>
      </c>
      <c r="D529" s="1196" t="s">
        <v>197</v>
      </c>
      <c r="E529" s="1196" t="s">
        <v>158</v>
      </c>
      <c r="F529" s="1196" t="s">
        <v>664</v>
      </c>
      <c r="G529" s="1196" t="s">
        <v>54</v>
      </c>
      <c r="H529" s="1321" t="s">
        <v>53</v>
      </c>
      <c r="I529" s="274" t="s">
        <v>1456</v>
      </c>
      <c r="J529" s="274" t="s">
        <v>54</v>
      </c>
      <c r="K529" s="274" t="s">
        <v>663</v>
      </c>
      <c r="L529" s="430" t="s">
        <v>19</v>
      </c>
      <c r="M529" s="430" t="s">
        <v>32</v>
      </c>
      <c r="N529" s="24">
        <v>15912.458000000001</v>
      </c>
      <c r="O529" s="214">
        <v>13046.289000000001</v>
      </c>
      <c r="P529" s="24">
        <v>7260</v>
      </c>
      <c r="Q529" s="24">
        <v>0</v>
      </c>
      <c r="R529" s="24">
        <v>0</v>
      </c>
    </row>
    <row r="530" spans="1:18" s="62" customFormat="1" ht="179.25" customHeight="1">
      <c r="A530" s="25"/>
      <c r="B530" s="1065"/>
      <c r="C530" s="1197"/>
      <c r="D530" s="1197"/>
      <c r="E530" s="1197"/>
      <c r="F530" s="1197"/>
      <c r="G530" s="1197"/>
      <c r="H530" s="1322"/>
      <c r="I530" s="275" t="s">
        <v>846</v>
      </c>
      <c r="J530" s="275" t="s">
        <v>54</v>
      </c>
      <c r="K530" s="275" t="s">
        <v>799</v>
      </c>
      <c r="L530" s="681"/>
      <c r="M530" s="681"/>
      <c r="N530" s="39"/>
      <c r="O530" s="559"/>
      <c r="P530" s="39"/>
      <c r="Q530" s="39"/>
      <c r="R530" s="39"/>
    </row>
    <row r="531" spans="1:18" s="63" customFormat="1" ht="24" customHeight="1">
      <c r="A531" s="16" t="s">
        <v>465</v>
      </c>
      <c r="B531" s="802">
        <v>2200</v>
      </c>
      <c r="C531" s="802" t="s">
        <v>25</v>
      </c>
      <c r="D531" s="802" t="s">
        <v>25</v>
      </c>
      <c r="E531" s="802" t="s">
        <v>25</v>
      </c>
      <c r="F531" s="802" t="s">
        <v>25</v>
      </c>
      <c r="G531" s="802" t="s">
        <v>25</v>
      </c>
      <c r="H531" s="802" t="s">
        <v>25</v>
      </c>
      <c r="I531" s="802" t="s">
        <v>25</v>
      </c>
      <c r="J531" s="802" t="s">
        <v>25</v>
      </c>
      <c r="K531" s="802" t="s">
        <v>25</v>
      </c>
      <c r="L531" s="374"/>
      <c r="M531" s="374"/>
      <c r="N531" s="32">
        <f t="shared" ref="N531:R531" si="66">N532</f>
        <v>306654.77199999994</v>
      </c>
      <c r="O531" s="32">
        <f t="shared" si="66"/>
        <v>282111.84899999999</v>
      </c>
      <c r="P531" s="32">
        <f t="shared" si="66"/>
        <v>204460.27899999998</v>
      </c>
      <c r="Q531" s="32">
        <f t="shared" si="66"/>
        <v>84355.8</v>
      </c>
      <c r="R531" s="32">
        <f t="shared" si="66"/>
        <v>81554.600000000006</v>
      </c>
    </row>
    <row r="532" spans="1:18" s="63" customFormat="1" ht="36" customHeight="1">
      <c r="A532" s="16" t="s">
        <v>466</v>
      </c>
      <c r="B532" s="802">
        <v>2300</v>
      </c>
      <c r="C532" s="802" t="s">
        <v>25</v>
      </c>
      <c r="D532" s="802" t="s">
        <v>25</v>
      </c>
      <c r="E532" s="802" t="s">
        <v>25</v>
      </c>
      <c r="F532" s="802" t="s">
        <v>25</v>
      </c>
      <c r="G532" s="802" t="s">
        <v>25</v>
      </c>
      <c r="H532" s="802" t="s">
        <v>25</v>
      </c>
      <c r="I532" s="802" t="s">
        <v>25</v>
      </c>
      <c r="J532" s="802" t="s">
        <v>25</v>
      </c>
      <c r="K532" s="802" t="s">
        <v>25</v>
      </c>
      <c r="L532" s="802"/>
      <c r="M532" s="802"/>
      <c r="N532" s="17">
        <f>N533+N542+N562+N569+N575+N580+N588+N592+N600+N605+N619+N621+N645+N650+N655+N659+N661+N657+N662+N666+N672</f>
        <v>306654.77199999994</v>
      </c>
      <c r="O532" s="17">
        <f>O533+O542+O562+O569+O575+O580+O588+O592+O600+O605+O619+O621+O645+O650+O655+O659+O661+O657+O662+O666+O672</f>
        <v>282111.84899999999</v>
      </c>
      <c r="P532" s="17">
        <f>P533+P542+P562+P569+P575+P580+P588+P592+P600+P605+P619+P621+P645+P650+P655+P659+P661+P657+P662+P666+P672</f>
        <v>204460.27899999998</v>
      </c>
      <c r="Q532" s="17">
        <f>Q533+Q542+Q562+Q569+Q575+Q580+Q588+Q592+Q600+Q605+Q619+Q621+Q645+Q650+Q655+Q659+Q661+Q657+Q662+Q666+Q672</f>
        <v>84355.8</v>
      </c>
      <c r="R532" s="17">
        <f>R533+R542+R562+R569+R575+R580+R588+R592+R600+R605+R619+R621+R645+R650+R655+R659+R661+R657+R662+R666+R672</f>
        <v>81554.600000000006</v>
      </c>
    </row>
    <row r="533" spans="1:18" s="63" customFormat="1" ht="36" customHeight="1">
      <c r="A533" s="16" t="s">
        <v>467</v>
      </c>
      <c r="B533" s="802">
        <v>2301</v>
      </c>
      <c r="C533" s="16" t="s">
        <v>27</v>
      </c>
      <c r="D533" s="16" t="s">
        <v>27</v>
      </c>
      <c r="E533" s="16" t="s">
        <v>27</v>
      </c>
      <c r="F533" s="16" t="s">
        <v>27</v>
      </c>
      <c r="G533" s="16" t="s">
        <v>27</v>
      </c>
      <c r="H533" s="16" t="s">
        <v>27</v>
      </c>
      <c r="I533" s="13"/>
      <c r="J533" s="13"/>
      <c r="K533" s="14"/>
      <c r="L533" s="802"/>
      <c r="M533" s="802"/>
      <c r="N533" s="17">
        <f>SUM(N534:N541)</f>
        <v>2211.8000000000002</v>
      </c>
      <c r="O533" s="17">
        <f t="shared" ref="O533:R533" si="67">SUM(O534:O541)</f>
        <v>2174.8000000000002</v>
      </c>
      <c r="P533" s="17">
        <f t="shared" si="67"/>
        <v>0</v>
      </c>
      <c r="Q533" s="17">
        <f t="shared" si="67"/>
        <v>0</v>
      </c>
      <c r="R533" s="17">
        <f t="shared" si="67"/>
        <v>0</v>
      </c>
    </row>
    <row r="534" spans="1:18" s="62" customFormat="1" ht="24" customHeight="1">
      <c r="A534" s="671" t="s">
        <v>1231</v>
      </c>
      <c r="B534" s="298"/>
      <c r="C534" s="1032"/>
      <c r="D534" s="1032"/>
      <c r="E534" s="1032"/>
      <c r="F534" s="805"/>
      <c r="G534" s="1032"/>
      <c r="H534" s="1032"/>
      <c r="I534" s="150"/>
      <c r="J534" s="150"/>
      <c r="K534" s="790"/>
      <c r="L534" s="298"/>
      <c r="M534" s="298"/>
      <c r="N534" s="119"/>
      <c r="O534" s="119"/>
      <c r="P534" s="119"/>
      <c r="Q534" s="119"/>
      <c r="R534" s="119"/>
    </row>
    <row r="535" spans="1:18" s="62" customFormat="1" ht="72">
      <c r="A535" s="672" t="s">
        <v>1234</v>
      </c>
      <c r="B535" s="298"/>
      <c r="C535" s="1032"/>
      <c r="D535" s="1032"/>
      <c r="E535" s="1032"/>
      <c r="F535" s="805"/>
      <c r="G535" s="1032"/>
      <c r="H535" s="1032"/>
      <c r="I535" s="1092" t="s">
        <v>1520</v>
      </c>
      <c r="J535" s="1092" t="s">
        <v>1235</v>
      </c>
      <c r="K535" s="790" t="s">
        <v>732</v>
      </c>
      <c r="L535" s="298"/>
      <c r="M535" s="298"/>
      <c r="N535" s="119"/>
      <c r="O535" s="119"/>
      <c r="P535" s="119"/>
      <c r="Q535" s="119"/>
      <c r="R535" s="119"/>
    </row>
    <row r="536" spans="1:18" s="62" customFormat="1" ht="48">
      <c r="A536" s="228" t="s">
        <v>1234</v>
      </c>
      <c r="B536" s="1013" t="s">
        <v>1240</v>
      </c>
      <c r="C536" s="999"/>
      <c r="D536" s="999"/>
      <c r="E536" s="999"/>
      <c r="F536" s="1073"/>
      <c r="G536" s="999"/>
      <c r="H536" s="999"/>
      <c r="I536" s="1053" t="s">
        <v>1236</v>
      </c>
      <c r="J536" s="1053" t="s">
        <v>54</v>
      </c>
      <c r="K536" s="725" t="s">
        <v>1237</v>
      </c>
      <c r="L536" s="1013" t="s">
        <v>28</v>
      </c>
      <c r="M536" s="1013" t="s">
        <v>32</v>
      </c>
      <c r="N536" s="726">
        <v>376.8</v>
      </c>
      <c r="O536" s="743">
        <v>376.8</v>
      </c>
      <c r="P536" s="774">
        <v>0</v>
      </c>
      <c r="Q536" s="774">
        <v>0</v>
      </c>
      <c r="R536" s="774">
        <v>0</v>
      </c>
    </row>
    <row r="537" spans="1:18" s="62" customFormat="1" ht="51" customHeight="1">
      <c r="A537" s="781"/>
      <c r="B537" s="753"/>
      <c r="C537" s="754"/>
      <c r="D537" s="754"/>
      <c r="E537" s="754"/>
      <c r="F537" s="1046"/>
      <c r="G537" s="754"/>
      <c r="H537" s="754"/>
      <c r="I537" s="1045" t="s">
        <v>1238</v>
      </c>
      <c r="J537" s="1045" t="s">
        <v>54</v>
      </c>
      <c r="K537" s="758" t="s">
        <v>1239</v>
      </c>
      <c r="L537" s="753"/>
      <c r="M537" s="753"/>
      <c r="N537" s="782"/>
      <c r="O537" s="755"/>
      <c r="P537" s="783"/>
      <c r="Q537" s="783"/>
      <c r="R537" s="784"/>
    </row>
    <row r="538" spans="1:18" s="62" customFormat="1" ht="12" customHeight="1">
      <c r="A538" s="1081" t="s">
        <v>1232</v>
      </c>
      <c r="B538" s="1013"/>
      <c r="C538" s="999"/>
      <c r="D538" s="999"/>
      <c r="E538" s="999"/>
      <c r="F538" s="1073"/>
      <c r="G538" s="999"/>
      <c r="H538" s="999"/>
      <c r="I538" s="777"/>
      <c r="J538" s="777"/>
      <c r="K538" s="778"/>
      <c r="L538" s="1013"/>
      <c r="M538" s="1013"/>
      <c r="N538" s="774"/>
      <c r="O538" s="774"/>
      <c r="P538" s="774"/>
      <c r="Q538" s="774"/>
      <c r="R538" s="774"/>
    </row>
    <row r="539" spans="1:18" s="62" customFormat="1" ht="47.25" customHeight="1">
      <c r="A539" s="998" t="s">
        <v>1233</v>
      </c>
      <c r="B539" s="670" t="s">
        <v>896</v>
      </c>
      <c r="C539" s="999"/>
      <c r="D539" s="999"/>
      <c r="E539" s="999"/>
      <c r="F539" s="1073"/>
      <c r="G539" s="999"/>
      <c r="H539" s="999"/>
      <c r="I539" s="836" t="s">
        <v>909</v>
      </c>
      <c r="J539" s="775" t="s">
        <v>54</v>
      </c>
      <c r="K539" s="776" t="s">
        <v>907</v>
      </c>
      <c r="L539" s="298" t="s">
        <v>28</v>
      </c>
      <c r="M539" s="298" t="s">
        <v>22</v>
      </c>
      <c r="N539" s="119">
        <v>250</v>
      </c>
      <c r="O539" s="119">
        <v>250</v>
      </c>
      <c r="P539" s="119">
        <v>0</v>
      </c>
      <c r="Q539" s="119">
        <v>0</v>
      </c>
      <c r="R539" s="119">
        <v>0</v>
      </c>
    </row>
    <row r="540" spans="1:18" s="62" customFormat="1" ht="60">
      <c r="A540" s="998"/>
      <c r="B540" s="298" t="s">
        <v>380</v>
      </c>
      <c r="C540" s="999"/>
      <c r="D540" s="999"/>
      <c r="E540" s="999"/>
      <c r="F540" s="1073"/>
      <c r="G540" s="999"/>
      <c r="H540" s="999"/>
      <c r="I540" s="1092" t="s">
        <v>1402</v>
      </c>
      <c r="J540" s="1092" t="s">
        <v>54</v>
      </c>
      <c r="K540" s="1097" t="s">
        <v>941</v>
      </c>
      <c r="L540" s="298" t="s">
        <v>28</v>
      </c>
      <c r="M540" s="298" t="s">
        <v>22</v>
      </c>
      <c r="N540" s="119">
        <v>1500</v>
      </c>
      <c r="O540" s="119">
        <v>1500</v>
      </c>
      <c r="P540" s="119">
        <v>0</v>
      </c>
      <c r="Q540" s="119">
        <v>0</v>
      </c>
      <c r="R540" s="119">
        <v>0</v>
      </c>
    </row>
    <row r="541" spans="1:18" s="62" customFormat="1" ht="48">
      <c r="A541" s="785"/>
      <c r="B541" s="298" t="s">
        <v>1241</v>
      </c>
      <c r="C541" s="786"/>
      <c r="D541" s="786"/>
      <c r="E541" s="786"/>
      <c r="F541" s="787"/>
      <c r="G541" s="786"/>
      <c r="H541" s="786"/>
      <c r="I541" s="1092" t="s">
        <v>1242</v>
      </c>
      <c r="J541" s="1092" t="s">
        <v>54</v>
      </c>
      <c r="K541" s="1097" t="s">
        <v>1243</v>
      </c>
      <c r="L541" s="298" t="s">
        <v>28</v>
      </c>
      <c r="M541" s="298" t="s">
        <v>22</v>
      </c>
      <c r="N541" s="56">
        <v>85</v>
      </c>
      <c r="O541" s="60">
        <v>48</v>
      </c>
      <c r="P541" s="119">
        <v>0</v>
      </c>
      <c r="Q541" s="119">
        <v>0</v>
      </c>
      <c r="R541" s="119">
        <v>0</v>
      </c>
    </row>
    <row r="542" spans="1:18" s="63" customFormat="1" ht="74.25" customHeight="1">
      <c r="A542" s="31" t="s">
        <v>468</v>
      </c>
      <c r="B542" s="374">
        <v>2302</v>
      </c>
      <c r="C542" s="31" t="s">
        <v>27</v>
      </c>
      <c r="D542" s="31" t="s">
        <v>27</v>
      </c>
      <c r="E542" s="31" t="s">
        <v>27</v>
      </c>
      <c r="F542" s="31" t="s">
        <v>27</v>
      </c>
      <c r="G542" s="31" t="s">
        <v>27</v>
      </c>
      <c r="H542" s="31" t="s">
        <v>27</v>
      </c>
      <c r="I542" s="31" t="s">
        <v>27</v>
      </c>
      <c r="J542" s="31" t="s">
        <v>27</v>
      </c>
      <c r="K542" s="31" t="s">
        <v>27</v>
      </c>
      <c r="L542" s="374"/>
      <c r="M542" s="374"/>
      <c r="N542" s="32">
        <f>SUM(N546:N561)</f>
        <v>72268.44200000001</v>
      </c>
      <c r="O542" s="32">
        <f>SUM(O546:O561)</f>
        <v>71925.203999999998</v>
      </c>
      <c r="P542" s="32">
        <f>SUM(P546:P561)</f>
        <v>35365.649999999994</v>
      </c>
      <c r="Q542" s="32">
        <f>SUM(Q546:Q561)</f>
        <v>0</v>
      </c>
      <c r="R542" s="32">
        <f>SUM(R546:R561)</f>
        <v>0</v>
      </c>
    </row>
    <row r="543" spans="1:18" s="62" customFormat="1" ht="12">
      <c r="A543" s="402" t="s">
        <v>76</v>
      </c>
      <c r="B543" s="396"/>
      <c r="C543" s="391"/>
      <c r="D543" s="391"/>
      <c r="E543" s="391"/>
      <c r="F543" s="391"/>
      <c r="G543" s="403"/>
      <c r="H543" s="404"/>
      <c r="I543" s="53"/>
      <c r="J543" s="53"/>
      <c r="K543" s="53"/>
      <c r="L543" s="26"/>
      <c r="M543" s="1028"/>
      <c r="N543" s="174"/>
      <c r="O543" s="571"/>
      <c r="P543" s="77"/>
      <c r="Q543" s="77"/>
      <c r="R543" s="77"/>
    </row>
    <row r="544" spans="1:18" s="62" customFormat="1" ht="13.5" customHeight="1">
      <c r="A544" s="672" t="s">
        <v>964</v>
      </c>
      <c r="B544" s="1032"/>
      <c r="C544" s="53"/>
      <c r="D544" s="53"/>
      <c r="E544" s="53"/>
      <c r="F544" s="53"/>
      <c r="G544" s="53"/>
      <c r="H544" s="53"/>
      <c r="I544" s="395"/>
      <c r="J544" s="395"/>
      <c r="K544" s="395"/>
      <c r="L544" s="1032"/>
      <c r="M544" s="1032"/>
      <c r="N544" s="53"/>
      <c r="O544" s="53"/>
      <c r="P544" s="53"/>
      <c r="Q544" s="53"/>
      <c r="R544" s="53"/>
    </row>
    <row r="545" spans="1:18" s="62" customFormat="1" ht="48.75" customHeight="1">
      <c r="A545" s="673" t="s">
        <v>1172</v>
      </c>
      <c r="B545" s="1095"/>
      <c r="C545" s="53"/>
      <c r="D545" s="53"/>
      <c r="E545" s="53"/>
      <c r="F545" s="53"/>
      <c r="G545" s="53"/>
      <c r="H545" s="53"/>
      <c r="I545" s="395" t="s">
        <v>882</v>
      </c>
      <c r="J545" s="395" t="s">
        <v>54</v>
      </c>
      <c r="K545" s="395" t="s">
        <v>863</v>
      </c>
      <c r="L545" s="1032"/>
      <c r="M545" s="1032"/>
      <c r="N545" s="53"/>
      <c r="O545" s="53"/>
      <c r="P545" s="53"/>
      <c r="Q545" s="53"/>
      <c r="R545" s="53"/>
    </row>
    <row r="546" spans="1:18" s="62" customFormat="1" ht="72" customHeight="1">
      <c r="A546" s="1282" t="s">
        <v>1173</v>
      </c>
      <c r="B546" s="343" t="s">
        <v>382</v>
      </c>
      <c r="C546" s="1201"/>
      <c r="D546" s="1201"/>
      <c r="E546" s="1201"/>
      <c r="F546" s="1201" t="s">
        <v>752</v>
      </c>
      <c r="G546" s="1201" t="s">
        <v>609</v>
      </c>
      <c r="H546" s="1201" t="s">
        <v>615</v>
      </c>
      <c r="I546" s="1075" t="s">
        <v>1526</v>
      </c>
      <c r="J546" s="1092" t="s">
        <v>54</v>
      </c>
      <c r="K546" s="1097" t="s">
        <v>1527</v>
      </c>
      <c r="L546" s="298" t="s">
        <v>30</v>
      </c>
      <c r="M546" s="298" t="s">
        <v>31</v>
      </c>
      <c r="N546" s="405">
        <v>3595.4</v>
      </c>
      <c r="O546" s="405">
        <v>3491.0810000000001</v>
      </c>
      <c r="P546" s="405">
        <v>0</v>
      </c>
      <c r="Q546" s="405">
        <v>0</v>
      </c>
      <c r="R546" s="405">
        <v>0</v>
      </c>
    </row>
    <row r="547" spans="1:18" s="62" customFormat="1" ht="85.5" customHeight="1">
      <c r="A547" s="1235"/>
      <c r="B547" s="343" t="s">
        <v>375</v>
      </c>
      <c r="C547" s="1149"/>
      <c r="D547" s="1149"/>
      <c r="E547" s="1149"/>
      <c r="F547" s="1149"/>
      <c r="G547" s="1149"/>
      <c r="H547" s="1149"/>
      <c r="I547" s="1075" t="s">
        <v>1536</v>
      </c>
      <c r="J547" s="1092" t="s">
        <v>54</v>
      </c>
      <c r="K547" s="1097" t="s">
        <v>1533</v>
      </c>
      <c r="L547" s="298" t="s">
        <v>30</v>
      </c>
      <c r="M547" s="298" t="s">
        <v>31</v>
      </c>
      <c r="N547" s="405">
        <v>499.51100000000002</v>
      </c>
      <c r="O547" s="405">
        <v>499.51100000000002</v>
      </c>
      <c r="P547" s="405">
        <v>0</v>
      </c>
      <c r="Q547" s="405">
        <v>0</v>
      </c>
      <c r="R547" s="405">
        <v>0</v>
      </c>
    </row>
    <row r="548" spans="1:18" s="62" customFormat="1" ht="83.25" customHeight="1">
      <c r="A548" s="998"/>
      <c r="B548" s="788" t="s">
        <v>381</v>
      </c>
      <c r="C548" s="786"/>
      <c r="D548" s="786"/>
      <c r="E548" s="786"/>
      <c r="F548" s="786"/>
      <c r="G548" s="786"/>
      <c r="H548" s="786"/>
      <c r="I548" s="789" t="s">
        <v>1245</v>
      </c>
      <c r="J548" s="1092" t="s">
        <v>54</v>
      </c>
      <c r="K548" s="1097" t="s">
        <v>1244</v>
      </c>
      <c r="L548" s="298" t="s">
        <v>30</v>
      </c>
      <c r="M548" s="298" t="s">
        <v>31</v>
      </c>
      <c r="N548" s="405">
        <v>71.736000000000004</v>
      </c>
      <c r="O548" s="405">
        <v>55.161999999999999</v>
      </c>
      <c r="P548" s="405">
        <v>0</v>
      </c>
      <c r="Q548" s="405">
        <v>0</v>
      </c>
      <c r="R548" s="405">
        <v>0</v>
      </c>
    </row>
    <row r="549" spans="1:18" s="62" customFormat="1" ht="72">
      <c r="A549" s="615"/>
      <c r="B549" s="343" t="s">
        <v>925</v>
      </c>
      <c r="C549" s="53"/>
      <c r="D549" s="53"/>
      <c r="E549" s="53"/>
      <c r="F549" s="53"/>
      <c r="G549" s="53"/>
      <c r="H549" s="53"/>
      <c r="I549" s="345" t="s">
        <v>927</v>
      </c>
      <c r="J549" s="1092" t="s">
        <v>54</v>
      </c>
      <c r="K549" s="1097" t="s">
        <v>928</v>
      </c>
      <c r="L549" s="298" t="s">
        <v>30</v>
      </c>
      <c r="M549" s="298" t="s">
        <v>31</v>
      </c>
      <c r="N549" s="60">
        <f>16655+1245</f>
        <v>17900</v>
      </c>
      <c r="O549" s="60">
        <f>16655+1245</f>
        <v>17900</v>
      </c>
      <c r="P549" s="60">
        <v>0</v>
      </c>
      <c r="Q549" s="60">
        <v>0</v>
      </c>
      <c r="R549" s="60">
        <v>0</v>
      </c>
    </row>
    <row r="550" spans="1:18" s="62" customFormat="1" ht="36" customHeight="1">
      <c r="A550" s="615"/>
      <c r="B550" s="343" t="s">
        <v>840</v>
      </c>
      <c r="C550" s="53"/>
      <c r="D550" s="53"/>
      <c r="E550" s="53"/>
      <c r="F550" s="53"/>
      <c r="G550" s="53"/>
      <c r="H550" s="53"/>
      <c r="I550" s="1075" t="s">
        <v>848</v>
      </c>
      <c r="J550" s="1092" t="s">
        <v>54</v>
      </c>
      <c r="K550" s="1097" t="s">
        <v>847</v>
      </c>
      <c r="L550" s="298" t="s">
        <v>30</v>
      </c>
      <c r="M550" s="298" t="s">
        <v>31</v>
      </c>
      <c r="N550" s="60">
        <v>150</v>
      </c>
      <c r="O550" s="60">
        <v>150</v>
      </c>
      <c r="P550" s="60">
        <v>0</v>
      </c>
      <c r="Q550" s="60">
        <v>0</v>
      </c>
      <c r="R550" s="60">
        <v>0</v>
      </c>
    </row>
    <row r="551" spans="1:18" s="62" customFormat="1" ht="84">
      <c r="A551" s="615"/>
      <c r="B551" s="343" t="s">
        <v>1444</v>
      </c>
      <c r="C551" s="53"/>
      <c r="D551" s="53"/>
      <c r="E551" s="53"/>
      <c r="F551" s="53"/>
      <c r="G551" s="53"/>
      <c r="H551" s="53"/>
      <c r="I551" s="789" t="s">
        <v>1495</v>
      </c>
      <c r="J551" s="1092" t="s">
        <v>54</v>
      </c>
      <c r="K551" s="1097" t="s">
        <v>1457</v>
      </c>
      <c r="L551" s="298" t="s">
        <v>30</v>
      </c>
      <c r="M551" s="298" t="s">
        <v>31</v>
      </c>
      <c r="N551" s="60">
        <f>8643.248+173.32</f>
        <v>8816.5679999999993</v>
      </c>
      <c r="O551" s="60">
        <f>8502.114+173.32</f>
        <v>8675.4339999999993</v>
      </c>
      <c r="P551" s="60">
        <v>3200</v>
      </c>
      <c r="Q551" s="60">
        <v>0</v>
      </c>
      <c r="R551" s="60">
        <v>0</v>
      </c>
    </row>
    <row r="552" spans="1:18" s="62" customFormat="1" ht="75" customHeight="1">
      <c r="A552" s="795"/>
      <c r="B552" s="788" t="s">
        <v>546</v>
      </c>
      <c r="C552" s="53"/>
      <c r="D552" s="53"/>
      <c r="E552" s="53"/>
      <c r="F552" s="53"/>
      <c r="G552" s="53"/>
      <c r="H552" s="53"/>
      <c r="I552" s="789" t="s">
        <v>1530</v>
      </c>
      <c r="J552" s="1092" t="s">
        <v>54</v>
      </c>
      <c r="K552" s="1097" t="s">
        <v>1457</v>
      </c>
      <c r="L552" s="298" t="s">
        <v>30</v>
      </c>
      <c r="M552" s="298" t="s">
        <v>31</v>
      </c>
      <c r="N552" s="60">
        <v>6778.5680000000002</v>
      </c>
      <c r="O552" s="60">
        <v>6778.5690000000004</v>
      </c>
      <c r="P552" s="60">
        <v>4550</v>
      </c>
      <c r="Q552" s="60">
        <v>0</v>
      </c>
      <c r="R552" s="60">
        <v>0</v>
      </c>
    </row>
    <row r="553" spans="1:18" s="62" customFormat="1" ht="72">
      <c r="A553" s="876"/>
      <c r="B553" s="788" t="s">
        <v>367</v>
      </c>
      <c r="C553" s="53"/>
      <c r="D553" s="53"/>
      <c r="E553" s="53"/>
      <c r="F553" s="53"/>
      <c r="G553" s="53"/>
      <c r="H553" s="53"/>
      <c r="I553" s="967" t="s">
        <v>1460</v>
      </c>
      <c r="J553" s="1092" t="s">
        <v>54</v>
      </c>
      <c r="K553" s="1097" t="s">
        <v>1406</v>
      </c>
      <c r="L553" s="298" t="s">
        <v>30</v>
      </c>
      <c r="M553" s="298" t="s">
        <v>31</v>
      </c>
      <c r="N553" s="60">
        <v>0</v>
      </c>
      <c r="O553" s="60">
        <v>0</v>
      </c>
      <c r="P553" s="60">
        <v>297.59899999999999</v>
      </c>
      <c r="Q553" s="60">
        <v>0</v>
      </c>
      <c r="R553" s="60">
        <v>0</v>
      </c>
    </row>
    <row r="554" spans="1:18" s="62" customFormat="1" ht="48">
      <c r="A554" s="615"/>
      <c r="B554" s="343" t="s">
        <v>375</v>
      </c>
      <c r="C554" s="53"/>
      <c r="D554" s="53"/>
      <c r="E554" s="53"/>
      <c r="F554" s="53"/>
      <c r="G554" s="53"/>
      <c r="H554" s="53"/>
      <c r="I554" s="345" t="s">
        <v>1400</v>
      </c>
      <c r="J554" s="1092" t="s">
        <v>54</v>
      </c>
      <c r="K554" s="1097" t="s">
        <v>1401</v>
      </c>
      <c r="L554" s="298" t="s">
        <v>30</v>
      </c>
      <c r="M554" s="298" t="s">
        <v>31</v>
      </c>
      <c r="N554" s="60">
        <v>506.15899999999999</v>
      </c>
      <c r="O554" s="60">
        <v>425</v>
      </c>
      <c r="P554" s="60">
        <v>0</v>
      </c>
      <c r="Q554" s="60">
        <v>0</v>
      </c>
      <c r="R554" s="60">
        <v>0</v>
      </c>
    </row>
    <row r="555" spans="1:18" s="62" customFormat="1" ht="61.5" customHeight="1">
      <c r="A555" s="615"/>
      <c r="B555" s="343" t="s">
        <v>417</v>
      </c>
      <c r="C555" s="53"/>
      <c r="D555" s="53"/>
      <c r="E555" s="53"/>
      <c r="F555" s="53"/>
      <c r="G555" s="53"/>
      <c r="H555" s="53"/>
      <c r="I555" s="345" t="s">
        <v>1034</v>
      </c>
      <c r="J555" s="1092" t="s">
        <v>54</v>
      </c>
      <c r="K555" s="1097" t="s">
        <v>931</v>
      </c>
      <c r="L555" s="298" t="s">
        <v>30</v>
      </c>
      <c r="M555" s="298" t="s">
        <v>31</v>
      </c>
      <c r="N555" s="60">
        <v>5753.1</v>
      </c>
      <c r="O555" s="60">
        <v>5753.1</v>
      </c>
      <c r="P555" s="60">
        <v>0</v>
      </c>
      <c r="Q555" s="60">
        <v>0</v>
      </c>
      <c r="R555" s="60">
        <v>0</v>
      </c>
    </row>
    <row r="556" spans="1:18" s="62" customFormat="1" ht="72">
      <c r="A556" s="615"/>
      <c r="B556" s="343" t="s">
        <v>1494</v>
      </c>
      <c r="C556" s="53"/>
      <c r="D556" s="53"/>
      <c r="E556" s="53"/>
      <c r="F556" s="53"/>
      <c r="G556" s="53"/>
      <c r="H556" s="53"/>
      <c r="I556" s="345" t="s">
        <v>1496</v>
      </c>
      <c r="J556" s="1092" t="s">
        <v>54</v>
      </c>
      <c r="K556" s="1097" t="s">
        <v>1499</v>
      </c>
      <c r="L556" s="298" t="s">
        <v>30</v>
      </c>
      <c r="M556" s="298" t="s">
        <v>31</v>
      </c>
      <c r="N556" s="60">
        <v>0</v>
      </c>
      <c r="O556" s="60">
        <v>0</v>
      </c>
      <c r="P556" s="60">
        <v>1384</v>
      </c>
      <c r="Q556" s="60">
        <v>0</v>
      </c>
      <c r="R556" s="60">
        <v>0</v>
      </c>
    </row>
    <row r="557" spans="1:18" s="62" customFormat="1" ht="96">
      <c r="A557" s="976"/>
      <c r="B557" s="343" t="s">
        <v>675</v>
      </c>
      <c r="C557" s="977"/>
      <c r="D557" s="977"/>
      <c r="E557" s="977"/>
      <c r="F557" s="977"/>
      <c r="G557" s="977"/>
      <c r="H557" s="977"/>
      <c r="I557" s="1017" t="s">
        <v>1497</v>
      </c>
      <c r="J557" s="1125" t="s">
        <v>54</v>
      </c>
      <c r="K557" s="1126" t="s">
        <v>1499</v>
      </c>
      <c r="L557" s="978" t="s">
        <v>30</v>
      </c>
      <c r="M557" s="978" t="s">
        <v>31</v>
      </c>
      <c r="N557" s="234">
        <v>1270</v>
      </c>
      <c r="O557" s="572">
        <v>1270</v>
      </c>
      <c r="P557" s="979">
        <v>1300</v>
      </c>
      <c r="Q557" s="980">
        <v>0</v>
      </c>
      <c r="R557" s="60">
        <v>0</v>
      </c>
    </row>
    <row r="558" spans="1:18" s="62" customFormat="1" ht="72" customHeight="1">
      <c r="A558" s="1235"/>
      <c r="B558" s="406" t="s">
        <v>542</v>
      </c>
      <c r="C558" s="366"/>
      <c r="D558" s="366"/>
      <c r="E558" s="366"/>
      <c r="F558" s="1219" t="s">
        <v>607</v>
      </c>
      <c r="G558" s="1219" t="s">
        <v>608</v>
      </c>
      <c r="H558" s="1219" t="s">
        <v>615</v>
      </c>
      <c r="I558" s="837" t="s">
        <v>1394</v>
      </c>
      <c r="J558" s="837" t="s">
        <v>54</v>
      </c>
      <c r="K558" s="837" t="s">
        <v>581</v>
      </c>
      <c r="L558" s="545" t="s">
        <v>30</v>
      </c>
      <c r="M558" s="545" t="s">
        <v>31</v>
      </c>
      <c r="N558" s="280">
        <v>26927.4</v>
      </c>
      <c r="O558" s="856">
        <v>26927.347000000002</v>
      </c>
      <c r="P558" s="280">
        <v>23580.799999999999</v>
      </c>
      <c r="Q558" s="295">
        <v>0</v>
      </c>
      <c r="R558" s="295">
        <v>0</v>
      </c>
    </row>
    <row r="559" spans="1:18" s="62" customFormat="1" ht="48" customHeight="1">
      <c r="A559" s="1235"/>
      <c r="B559" s="407"/>
      <c r="C559" s="243"/>
      <c r="D559" s="243"/>
      <c r="E559" s="243"/>
      <c r="F559" s="1220"/>
      <c r="G559" s="1220"/>
      <c r="H559" s="1220"/>
      <c r="I559" s="997" t="s">
        <v>1404</v>
      </c>
      <c r="J559" s="997" t="s">
        <v>54</v>
      </c>
      <c r="K559" s="997" t="s">
        <v>1405</v>
      </c>
      <c r="L559" s="1003"/>
      <c r="M559" s="1003"/>
      <c r="N559" s="245"/>
      <c r="O559" s="561"/>
      <c r="P559" s="245"/>
      <c r="Q559" s="245"/>
      <c r="R559" s="245"/>
    </row>
    <row r="560" spans="1:18" s="62" customFormat="1" ht="36.75" customHeight="1">
      <c r="A560" s="927" t="s">
        <v>1445</v>
      </c>
      <c r="B560" s="968" t="s">
        <v>1446</v>
      </c>
      <c r="C560" s="925"/>
      <c r="D560" s="925"/>
      <c r="E560" s="925"/>
      <c r="F560" s="1216" t="s">
        <v>752</v>
      </c>
      <c r="G560" s="1216" t="s">
        <v>1447</v>
      </c>
      <c r="H560" s="1216" t="s">
        <v>615</v>
      </c>
      <c r="I560" s="1145" t="s">
        <v>1460</v>
      </c>
      <c r="J560" s="1145" t="s">
        <v>54</v>
      </c>
      <c r="K560" s="1145" t="s">
        <v>1406</v>
      </c>
      <c r="L560" s="951" t="s">
        <v>30</v>
      </c>
      <c r="M560" s="951" t="s">
        <v>31</v>
      </c>
      <c r="N560" s="926">
        <v>0</v>
      </c>
      <c r="O560" s="926">
        <v>0</v>
      </c>
      <c r="P560" s="926">
        <v>908.85</v>
      </c>
      <c r="Q560" s="926">
        <v>0</v>
      </c>
      <c r="R560" s="926">
        <v>0</v>
      </c>
    </row>
    <row r="561" spans="1:18" s="62" customFormat="1" ht="36.75" customHeight="1">
      <c r="A561" s="928"/>
      <c r="B561" s="968" t="s">
        <v>367</v>
      </c>
      <c r="C561" s="925"/>
      <c r="D561" s="925"/>
      <c r="E561" s="925"/>
      <c r="F561" s="1217"/>
      <c r="G561" s="1217"/>
      <c r="H561" s="1217"/>
      <c r="I561" s="1146"/>
      <c r="J561" s="1146"/>
      <c r="K561" s="1146"/>
      <c r="L561" s="951" t="s">
        <v>30</v>
      </c>
      <c r="M561" s="951" t="s">
        <v>31</v>
      </c>
      <c r="N561" s="926">
        <v>0</v>
      </c>
      <c r="O561" s="926">
        <v>0</v>
      </c>
      <c r="P561" s="926">
        <v>144.40100000000001</v>
      </c>
      <c r="Q561" s="926">
        <v>0</v>
      </c>
      <c r="R561" s="926">
        <v>0</v>
      </c>
    </row>
    <row r="562" spans="1:18" s="63" customFormat="1" ht="156" customHeight="1">
      <c r="A562" s="674" t="s">
        <v>1174</v>
      </c>
      <c r="B562" s="435">
        <v>2304</v>
      </c>
      <c r="C562" s="289" t="s">
        <v>27</v>
      </c>
      <c r="D562" s="289" t="s">
        <v>27</v>
      </c>
      <c r="E562" s="289" t="s">
        <v>27</v>
      </c>
      <c r="F562" s="289" t="s">
        <v>27</v>
      </c>
      <c r="G562" s="289" t="s">
        <v>27</v>
      </c>
      <c r="H562" s="289" t="s">
        <v>27</v>
      </c>
      <c r="I562" s="1038"/>
      <c r="J562" s="1038"/>
      <c r="K562" s="1038"/>
      <c r="L562" s="435"/>
      <c r="M562" s="435"/>
      <c r="N562" s="219">
        <f>SUM(N565:N568)</f>
        <v>67338.493999999992</v>
      </c>
      <c r="O562" s="219">
        <f>SUM(O565:O568)</f>
        <v>67065.816000000006</v>
      </c>
      <c r="P562" s="219">
        <f>SUM(P565:P568)</f>
        <v>48321.1</v>
      </c>
      <c r="Q562" s="219">
        <f>SUM(Q565:Q568)</f>
        <v>0</v>
      </c>
      <c r="R562" s="219">
        <f>SUM(R565:R568)</f>
        <v>0</v>
      </c>
    </row>
    <row r="563" spans="1:18" s="63" customFormat="1" ht="23.25" customHeight="1">
      <c r="A563" s="677" t="s">
        <v>1175</v>
      </c>
      <c r="B563" s="662"/>
      <c r="C563" s="661"/>
      <c r="D563" s="661"/>
      <c r="E563" s="661"/>
      <c r="F563" s="661"/>
      <c r="G563" s="661"/>
      <c r="H563" s="661"/>
      <c r="I563" s="1212" t="s">
        <v>1500</v>
      </c>
      <c r="J563" s="1212" t="s">
        <v>955</v>
      </c>
      <c r="K563" s="1212" t="s">
        <v>731</v>
      </c>
      <c r="L563" s="662"/>
      <c r="M563" s="662"/>
      <c r="N563" s="664"/>
      <c r="O563" s="664"/>
      <c r="P563" s="664"/>
      <c r="Q563" s="664"/>
      <c r="R563" s="664"/>
    </row>
    <row r="564" spans="1:18" s="63" customFormat="1" ht="24" customHeight="1">
      <c r="A564" s="677" t="s">
        <v>1176</v>
      </c>
      <c r="B564" s="479"/>
      <c r="C564" s="676"/>
      <c r="D564" s="676"/>
      <c r="E564" s="676"/>
      <c r="F564" s="676"/>
      <c r="G564" s="676"/>
      <c r="H564" s="676"/>
      <c r="I564" s="1249"/>
      <c r="J564" s="1249"/>
      <c r="K564" s="1249"/>
      <c r="L564" s="479"/>
      <c r="M564" s="479"/>
      <c r="N564" s="554"/>
      <c r="O564" s="554"/>
      <c r="P564" s="554"/>
      <c r="Q564" s="554"/>
      <c r="R564" s="554"/>
    </row>
    <row r="565" spans="1:18" s="62" customFormat="1" ht="60">
      <c r="A565" s="228" t="s">
        <v>1177</v>
      </c>
      <c r="B565" s="40" t="s">
        <v>1267</v>
      </c>
      <c r="C565" s="228"/>
      <c r="D565" s="228"/>
      <c r="E565" s="228"/>
      <c r="F565" s="228"/>
      <c r="G565" s="228"/>
      <c r="H565" s="228"/>
      <c r="I565" s="675" t="s">
        <v>1458</v>
      </c>
      <c r="J565" s="1036" t="s">
        <v>54</v>
      </c>
      <c r="K565" s="1036" t="s">
        <v>1396</v>
      </c>
      <c r="L565" s="40" t="s">
        <v>32</v>
      </c>
      <c r="M565" s="229" t="s">
        <v>33</v>
      </c>
      <c r="N565" s="213">
        <v>23321.082999999999</v>
      </c>
      <c r="O565" s="213">
        <v>23321.082999999999</v>
      </c>
      <c r="P565" s="78">
        <v>6050</v>
      </c>
      <c r="Q565" s="78">
        <v>0</v>
      </c>
      <c r="R565" s="78">
        <v>0</v>
      </c>
    </row>
    <row r="566" spans="1:18" s="62" customFormat="1" ht="84" customHeight="1">
      <c r="A566" s="289"/>
      <c r="B566" s="409"/>
      <c r="C566" s="25"/>
      <c r="D566" s="25"/>
      <c r="E566" s="25"/>
      <c r="F566" s="22"/>
      <c r="G566" s="22"/>
      <c r="H566" s="22"/>
      <c r="I566" s="143" t="s">
        <v>646</v>
      </c>
      <c r="J566" s="1051" t="s">
        <v>54</v>
      </c>
      <c r="K566" s="1051" t="s">
        <v>63</v>
      </c>
      <c r="L566" s="1065"/>
      <c r="M566" s="1065"/>
      <c r="N566" s="176"/>
      <c r="O566" s="568"/>
      <c r="P566" s="80"/>
      <c r="Q566" s="80"/>
      <c r="R566" s="80"/>
    </row>
    <row r="567" spans="1:18" s="62" customFormat="1" ht="60.75" customHeight="1">
      <c r="A567" s="1227"/>
      <c r="B567" s="406" t="s">
        <v>403</v>
      </c>
      <c r="C567" s="23"/>
      <c r="D567" s="23"/>
      <c r="E567" s="23"/>
      <c r="F567" s="1202" t="s">
        <v>610</v>
      </c>
      <c r="G567" s="1202" t="s">
        <v>611</v>
      </c>
      <c r="H567" s="1202" t="s">
        <v>615</v>
      </c>
      <c r="I567" s="340" t="s">
        <v>1506</v>
      </c>
      <c r="J567" s="340" t="s">
        <v>54</v>
      </c>
      <c r="K567" s="340" t="s">
        <v>1507</v>
      </c>
      <c r="L567" s="41" t="s">
        <v>32</v>
      </c>
      <c r="M567" s="372" t="s">
        <v>33</v>
      </c>
      <c r="N567" s="8">
        <v>41797.612999999998</v>
      </c>
      <c r="O567" s="519">
        <v>41538.686000000002</v>
      </c>
      <c r="P567" s="8">
        <v>36500</v>
      </c>
      <c r="Q567" s="8">
        <v>0</v>
      </c>
      <c r="R567" s="8">
        <v>0</v>
      </c>
    </row>
    <row r="568" spans="1:18" s="62" customFormat="1" ht="59.25" customHeight="1" thickBot="1">
      <c r="A568" s="1227"/>
      <c r="B568" s="343" t="s">
        <v>371</v>
      </c>
      <c r="C568" s="681"/>
      <c r="D568" s="681"/>
      <c r="E568" s="681"/>
      <c r="F568" s="1202"/>
      <c r="G568" s="1202"/>
      <c r="H568" s="1202"/>
      <c r="I568" s="1024" t="s">
        <v>1508</v>
      </c>
      <c r="J568" s="185" t="s">
        <v>54</v>
      </c>
      <c r="K568" s="1024" t="s">
        <v>1504</v>
      </c>
      <c r="L568" s="298" t="s">
        <v>32</v>
      </c>
      <c r="M568" s="298" t="s">
        <v>33</v>
      </c>
      <c r="N568" s="8">
        <v>2219.7979999999998</v>
      </c>
      <c r="O568" s="519">
        <v>2206.047</v>
      </c>
      <c r="P568" s="8">
        <f>3850.047+1921.053</f>
        <v>5771.1</v>
      </c>
      <c r="Q568" s="8">
        <v>0</v>
      </c>
      <c r="R568" s="8">
        <v>0</v>
      </c>
    </row>
    <row r="569" spans="1:18" s="63" customFormat="1" ht="119.25" customHeight="1">
      <c r="A569" s="578" t="s">
        <v>684</v>
      </c>
      <c r="B569" s="236" t="s">
        <v>469</v>
      </c>
      <c r="C569" s="289"/>
      <c r="D569" s="289"/>
      <c r="E569" s="289"/>
      <c r="F569" s="289"/>
      <c r="G569" s="289"/>
      <c r="H569" s="218"/>
      <c r="I569" s="1032"/>
      <c r="J569" s="1032"/>
      <c r="K569" s="1032"/>
      <c r="L569" s="34"/>
      <c r="M569" s="435"/>
      <c r="N569" s="573">
        <f t="shared" ref="N569:R569" si="68">SUM(N572:N574)</f>
        <v>13422.557000000001</v>
      </c>
      <c r="O569" s="573">
        <f t="shared" si="68"/>
        <v>5828.3209999999999</v>
      </c>
      <c r="P569" s="573">
        <f t="shared" si="68"/>
        <v>7594.2370000000001</v>
      </c>
      <c r="Q569" s="573">
        <f t="shared" si="68"/>
        <v>0</v>
      </c>
      <c r="R569" s="573">
        <f t="shared" si="68"/>
        <v>0</v>
      </c>
    </row>
    <row r="570" spans="1:18" s="63" customFormat="1" ht="24">
      <c r="A570" s="672" t="s">
        <v>965</v>
      </c>
      <c r="B570" s="1089"/>
      <c r="C570" s="38"/>
      <c r="D570" s="38"/>
      <c r="E570" s="38"/>
      <c r="F570" s="38"/>
      <c r="G570" s="38"/>
      <c r="H570" s="38"/>
      <c r="I570" s="1271" t="s">
        <v>882</v>
      </c>
      <c r="J570" s="1271" t="s">
        <v>54</v>
      </c>
      <c r="K570" s="1271" t="s">
        <v>863</v>
      </c>
      <c r="L570" s="417"/>
      <c r="M570" s="417"/>
      <c r="N570" s="556"/>
      <c r="O570" s="556"/>
      <c r="P570" s="556"/>
      <c r="Q570" s="556"/>
      <c r="R570" s="556"/>
    </row>
    <row r="571" spans="1:18" s="63" customFormat="1" ht="24">
      <c r="A571" s="672" t="s">
        <v>1178</v>
      </c>
      <c r="B571" s="682"/>
      <c r="C571" s="421"/>
      <c r="D571" s="421"/>
      <c r="E571" s="421"/>
      <c r="F571" s="421"/>
      <c r="G571" s="421"/>
      <c r="H571" s="421"/>
      <c r="I571" s="1167"/>
      <c r="J571" s="1167"/>
      <c r="K571" s="1167"/>
      <c r="L571" s="580"/>
      <c r="M571" s="580"/>
      <c r="N571" s="566"/>
      <c r="O571" s="566"/>
      <c r="P571" s="566"/>
      <c r="Q571" s="566"/>
      <c r="R571" s="566"/>
    </row>
    <row r="572" spans="1:18" s="62" customFormat="1" ht="60">
      <c r="A572" s="53" t="s">
        <v>1179</v>
      </c>
      <c r="B572" s="406" t="s">
        <v>379</v>
      </c>
      <c r="C572" s="54"/>
      <c r="D572" s="54"/>
      <c r="E572" s="54"/>
      <c r="F572" s="54"/>
      <c r="G572" s="54"/>
      <c r="H572" s="54"/>
      <c r="I572" s="346" t="s">
        <v>930</v>
      </c>
      <c r="J572" s="805" t="s">
        <v>54</v>
      </c>
      <c r="K572" s="805" t="s">
        <v>931</v>
      </c>
      <c r="L572" s="298" t="s">
        <v>30</v>
      </c>
      <c r="M572" s="298" t="s">
        <v>28</v>
      </c>
      <c r="N572" s="118">
        <v>408.32</v>
      </c>
      <c r="O572" s="418">
        <v>408.32</v>
      </c>
      <c r="P572" s="118">
        <v>0</v>
      </c>
      <c r="Q572" s="118">
        <v>0</v>
      </c>
      <c r="R572" s="118">
        <v>0</v>
      </c>
    </row>
    <row r="573" spans="1:18" s="62" customFormat="1" ht="48" customHeight="1">
      <c r="A573" s="326" t="s">
        <v>966</v>
      </c>
      <c r="B573" s="408" t="s">
        <v>278</v>
      </c>
      <c r="C573" s="1199" t="s">
        <v>318</v>
      </c>
      <c r="D573" s="1199" t="s">
        <v>157</v>
      </c>
      <c r="E573" s="1199" t="s">
        <v>158</v>
      </c>
      <c r="F573" s="1199" t="s">
        <v>661</v>
      </c>
      <c r="G573" s="1199" t="s">
        <v>54</v>
      </c>
      <c r="H573" s="1318" t="s">
        <v>662</v>
      </c>
      <c r="I573" s="163" t="s">
        <v>1035</v>
      </c>
      <c r="J573" s="547" t="s">
        <v>54</v>
      </c>
      <c r="K573" s="547" t="s">
        <v>630</v>
      </c>
      <c r="L573" s="297" t="s">
        <v>19</v>
      </c>
      <c r="M573" s="297" t="s">
        <v>32</v>
      </c>
      <c r="N573" s="36">
        <v>910.29899999999998</v>
      </c>
      <c r="O573" s="550">
        <v>376.69299999999998</v>
      </c>
      <c r="P573" s="36">
        <v>0</v>
      </c>
      <c r="Q573" s="36">
        <v>0</v>
      </c>
      <c r="R573" s="36">
        <v>0</v>
      </c>
    </row>
    <row r="574" spans="1:18" s="62" customFormat="1" ht="86.25" customHeight="1">
      <c r="A574" s="243"/>
      <c r="B574" s="40" t="s">
        <v>870</v>
      </c>
      <c r="C574" s="1200"/>
      <c r="D574" s="1200"/>
      <c r="E574" s="1200"/>
      <c r="F574" s="1200"/>
      <c r="G574" s="1200"/>
      <c r="H574" s="1319"/>
      <c r="I574" s="90" t="s">
        <v>660</v>
      </c>
      <c r="J574" s="868" t="s">
        <v>54</v>
      </c>
      <c r="K574" s="153" t="s">
        <v>582</v>
      </c>
      <c r="L574" s="1029"/>
      <c r="M574" s="1029"/>
      <c r="N574" s="174">
        <v>12103.938</v>
      </c>
      <c r="O574" s="571">
        <v>5043.308</v>
      </c>
      <c r="P574" s="77">
        <v>7594.2370000000001</v>
      </c>
      <c r="Q574" s="77">
        <v>0</v>
      </c>
      <c r="R574" s="77">
        <v>0</v>
      </c>
    </row>
    <row r="575" spans="1:18" s="62" customFormat="1" ht="60" customHeight="1">
      <c r="A575" s="683" t="s">
        <v>570</v>
      </c>
      <c r="B575" s="55" t="s">
        <v>470</v>
      </c>
      <c r="C575" s="50"/>
      <c r="D575" s="50"/>
      <c r="E575" s="50"/>
      <c r="F575" s="50"/>
      <c r="G575" s="50"/>
      <c r="H575" s="50"/>
      <c r="I575" s="365"/>
      <c r="J575" s="365"/>
      <c r="K575" s="536"/>
      <c r="L575" s="55" t="s">
        <v>32</v>
      </c>
      <c r="M575" s="55" t="s">
        <v>34</v>
      </c>
      <c r="N575" s="51">
        <f t="shared" ref="N575:Q575" si="69">SUM(N578:N579)</f>
        <v>3333.4</v>
      </c>
      <c r="O575" s="51">
        <f t="shared" si="69"/>
        <v>3333.4</v>
      </c>
      <c r="P575" s="51">
        <f t="shared" si="69"/>
        <v>0</v>
      </c>
      <c r="Q575" s="51">
        <f t="shared" si="69"/>
        <v>0</v>
      </c>
      <c r="R575" s="51">
        <f t="shared" ref="R575" si="70">SUM(R578:R579)</f>
        <v>0</v>
      </c>
    </row>
    <row r="576" spans="1:18" s="62" customFormat="1" ht="12.75" customHeight="1">
      <c r="A576" s="685" t="s">
        <v>1180</v>
      </c>
      <c r="B576" s="684"/>
      <c r="C576" s="421"/>
      <c r="D576" s="421"/>
      <c r="E576" s="421"/>
      <c r="F576" s="421"/>
      <c r="G576" s="421"/>
      <c r="H576" s="421"/>
      <c r="I576" s="1174" t="s">
        <v>1500</v>
      </c>
      <c r="J576" s="1174" t="s">
        <v>947</v>
      </c>
      <c r="K576" s="1174" t="s">
        <v>731</v>
      </c>
      <c r="L576" s="419"/>
      <c r="M576" s="419"/>
      <c r="N576" s="556"/>
      <c r="O576" s="556"/>
      <c r="P576" s="556"/>
      <c r="Q576" s="556"/>
      <c r="R576" s="556"/>
    </row>
    <row r="577" spans="1:18" s="62" customFormat="1" ht="47.25" customHeight="1">
      <c r="A577" s="685" t="s">
        <v>1181</v>
      </c>
      <c r="B577" s="684"/>
      <c r="C577" s="421"/>
      <c r="D577" s="421"/>
      <c r="E577" s="421"/>
      <c r="F577" s="421"/>
      <c r="G577" s="421"/>
      <c r="H577" s="421"/>
      <c r="I577" s="1175"/>
      <c r="J577" s="1175"/>
      <c r="K577" s="1175"/>
      <c r="L577" s="649"/>
      <c r="M577" s="649"/>
      <c r="N577" s="566"/>
      <c r="O577" s="566"/>
      <c r="P577" s="566"/>
      <c r="Q577" s="566"/>
      <c r="R577" s="566"/>
    </row>
    <row r="578" spans="1:18" s="62" customFormat="1" ht="48.75" customHeight="1">
      <c r="A578" s="1172" t="s">
        <v>1182</v>
      </c>
      <c r="B578" s="72" t="s">
        <v>421</v>
      </c>
      <c r="C578" s="1176"/>
      <c r="D578" s="1176"/>
      <c r="E578" s="1176"/>
      <c r="F578" s="1202" t="s">
        <v>610</v>
      </c>
      <c r="G578" s="1202" t="s">
        <v>612</v>
      </c>
      <c r="H578" s="1202" t="s">
        <v>618</v>
      </c>
      <c r="I578" s="1202" t="s">
        <v>1246</v>
      </c>
      <c r="J578" s="1202" t="s">
        <v>54</v>
      </c>
      <c r="K578" s="1202" t="s">
        <v>1247</v>
      </c>
      <c r="L578" s="1317"/>
      <c r="M578" s="1317"/>
      <c r="N578" s="56">
        <v>833.4</v>
      </c>
      <c r="O578" s="56">
        <v>833.4</v>
      </c>
      <c r="P578" s="56">
        <v>0</v>
      </c>
      <c r="Q578" s="56">
        <v>0</v>
      </c>
      <c r="R578" s="56">
        <v>0</v>
      </c>
    </row>
    <row r="579" spans="1:18" s="62" customFormat="1" ht="48" customHeight="1">
      <c r="A579" s="1173"/>
      <c r="B579" s="165" t="s">
        <v>422</v>
      </c>
      <c r="C579" s="1176"/>
      <c r="D579" s="1176"/>
      <c r="E579" s="1176"/>
      <c r="F579" s="1202"/>
      <c r="G579" s="1202"/>
      <c r="H579" s="1202"/>
      <c r="I579" s="1202"/>
      <c r="J579" s="1202"/>
      <c r="K579" s="1202"/>
      <c r="L579" s="1317"/>
      <c r="M579" s="1317"/>
      <c r="N579" s="182">
        <v>2500</v>
      </c>
      <c r="O579" s="857">
        <v>2500</v>
      </c>
      <c r="P579" s="182">
        <v>0</v>
      </c>
      <c r="Q579" s="305">
        <v>0</v>
      </c>
      <c r="R579" s="305">
        <v>0</v>
      </c>
    </row>
    <row r="580" spans="1:18" s="63" customFormat="1" ht="60" customHeight="1">
      <c r="A580" s="689" t="s">
        <v>705</v>
      </c>
      <c r="B580" s="690" t="s">
        <v>1265</v>
      </c>
      <c r="C580" s="691"/>
      <c r="D580" s="691"/>
      <c r="E580" s="691"/>
      <c r="F580" s="691"/>
      <c r="G580" s="691"/>
      <c r="H580" s="691"/>
      <c r="I580" s="687"/>
      <c r="J580" s="687"/>
      <c r="K580" s="688"/>
      <c r="L580" s="690" t="s">
        <v>32</v>
      </c>
      <c r="M580" s="690" t="s">
        <v>34</v>
      </c>
      <c r="N580" s="563">
        <f>SUM(N581:N583)</f>
        <v>13942.392</v>
      </c>
      <c r="O580" s="563">
        <f t="shared" ref="O580:R580" si="71">SUM(O581:O583)</f>
        <v>13942.392</v>
      </c>
      <c r="P580" s="563">
        <f t="shared" si="71"/>
        <v>6000</v>
      </c>
      <c r="Q580" s="563">
        <f t="shared" si="71"/>
        <v>0</v>
      </c>
      <c r="R580" s="563">
        <f t="shared" si="71"/>
        <v>0</v>
      </c>
    </row>
    <row r="581" spans="1:18" s="63" customFormat="1" ht="13.5" customHeight="1">
      <c r="A581" s="685" t="s">
        <v>1183</v>
      </c>
      <c r="B581" s="690"/>
      <c r="C581" s="691"/>
      <c r="D581" s="691"/>
      <c r="E581" s="691"/>
      <c r="F581" s="691"/>
      <c r="G581" s="691"/>
      <c r="H581" s="691"/>
      <c r="I581" s="1174" t="s">
        <v>1500</v>
      </c>
      <c r="J581" s="1174" t="s">
        <v>947</v>
      </c>
      <c r="K581" s="1174" t="s">
        <v>731</v>
      </c>
      <c r="L581" s="692"/>
      <c r="M581" s="692"/>
      <c r="N581" s="693"/>
      <c r="O581" s="693"/>
      <c r="P581" s="693"/>
      <c r="Q581" s="693"/>
      <c r="R581" s="693"/>
    </row>
    <row r="582" spans="1:18" s="63" customFormat="1" ht="48" customHeight="1">
      <c r="A582" s="685" t="s">
        <v>1184</v>
      </c>
      <c r="B582" s="690"/>
      <c r="C582" s="691"/>
      <c r="D582" s="691"/>
      <c r="E582" s="691"/>
      <c r="F582" s="691"/>
      <c r="G582" s="691"/>
      <c r="H582" s="691"/>
      <c r="I582" s="1175"/>
      <c r="J582" s="1175"/>
      <c r="K582" s="1175"/>
      <c r="L582" s="670"/>
      <c r="M582" s="670"/>
      <c r="N582" s="559"/>
      <c r="O582" s="559"/>
      <c r="P582" s="559"/>
      <c r="Q582" s="559"/>
      <c r="R582" s="559"/>
    </row>
    <row r="583" spans="1:18" s="63" customFormat="1" ht="72.75" customHeight="1">
      <c r="A583" s="579" t="s">
        <v>1185</v>
      </c>
      <c r="B583" s="576" t="s">
        <v>1266</v>
      </c>
      <c r="C583" s="691"/>
      <c r="D583" s="691"/>
      <c r="E583" s="691"/>
      <c r="F583" s="691"/>
      <c r="G583" s="691"/>
      <c r="H583" s="691"/>
      <c r="I583" s="1032" t="s">
        <v>1531</v>
      </c>
      <c r="J583" s="1032" t="s">
        <v>54</v>
      </c>
      <c r="K583" s="1032" t="s">
        <v>1397</v>
      </c>
      <c r="L583" s="576"/>
      <c r="M583" s="576"/>
      <c r="N583" s="558">
        <v>13942.392</v>
      </c>
      <c r="O583" s="558">
        <v>13942.392</v>
      </c>
      <c r="P583" s="558">
        <v>6000</v>
      </c>
      <c r="Q583" s="558">
        <v>0</v>
      </c>
      <c r="R583" s="558">
        <v>0</v>
      </c>
    </row>
    <row r="584" spans="1:18" s="62" customFormat="1" ht="48" hidden="1">
      <c r="A584" s="38" t="s">
        <v>471</v>
      </c>
      <c r="B584" s="1089" t="s">
        <v>472</v>
      </c>
      <c r="C584" s="38"/>
      <c r="D584" s="38"/>
      <c r="E584" s="38"/>
      <c r="F584" s="38"/>
      <c r="G584" s="38"/>
      <c r="H584" s="38"/>
      <c r="I584" s="1032"/>
      <c r="J584" s="1032"/>
      <c r="K584" s="1032"/>
      <c r="L584" s="1089"/>
      <c r="M584" s="1089"/>
      <c r="N584" s="52">
        <f t="shared" ref="N584:Q584" si="72">SUM(N585:N586)</f>
        <v>0</v>
      </c>
      <c r="O584" s="52"/>
      <c r="P584" s="52">
        <f t="shared" si="72"/>
        <v>0</v>
      </c>
      <c r="Q584" s="52">
        <f t="shared" si="72"/>
        <v>0</v>
      </c>
      <c r="R584" s="52">
        <f t="shared" ref="R584" si="73">SUM(R585:R586)</f>
        <v>0</v>
      </c>
    </row>
    <row r="585" spans="1:18" s="62" customFormat="1" ht="60" hidden="1">
      <c r="A585" s="53" t="s">
        <v>473</v>
      </c>
      <c r="B585" s="298" t="s">
        <v>372</v>
      </c>
      <c r="C585" s="53"/>
      <c r="D585" s="53"/>
      <c r="E585" s="53"/>
      <c r="F585" s="53"/>
      <c r="G585" s="53"/>
      <c r="H585" s="53"/>
      <c r="I585" s="1032" t="s">
        <v>414</v>
      </c>
      <c r="J585" s="1032" t="s">
        <v>54</v>
      </c>
      <c r="K585" s="1032" t="s">
        <v>415</v>
      </c>
      <c r="L585" s="298" t="s">
        <v>28</v>
      </c>
      <c r="M585" s="298" t="s">
        <v>22</v>
      </c>
      <c r="N585" s="56"/>
      <c r="O585" s="56"/>
      <c r="P585" s="56">
        <v>0</v>
      </c>
      <c r="Q585" s="56">
        <v>0</v>
      </c>
      <c r="R585" s="56">
        <v>0</v>
      </c>
    </row>
    <row r="586" spans="1:18" s="62" customFormat="1" ht="84" hidden="1">
      <c r="A586" s="53" t="s">
        <v>528</v>
      </c>
      <c r="B586" s="298" t="s">
        <v>418</v>
      </c>
      <c r="C586" s="53"/>
      <c r="D586" s="53"/>
      <c r="E586" s="53"/>
      <c r="F586" s="53"/>
      <c r="G586" s="53"/>
      <c r="H586" s="53"/>
      <c r="I586" s="1039" t="s">
        <v>517</v>
      </c>
      <c r="J586" s="1039" t="s">
        <v>54</v>
      </c>
      <c r="K586" s="1039" t="s">
        <v>420</v>
      </c>
      <c r="L586" s="298" t="s">
        <v>28</v>
      </c>
      <c r="M586" s="298" t="s">
        <v>22</v>
      </c>
      <c r="N586" s="56"/>
      <c r="O586" s="56"/>
      <c r="P586" s="56">
        <v>0</v>
      </c>
      <c r="Q586" s="56">
        <v>0</v>
      </c>
      <c r="R586" s="56">
        <v>0</v>
      </c>
    </row>
    <row r="587" spans="1:18" s="62" customFormat="1" ht="60" hidden="1">
      <c r="A587" s="404"/>
      <c r="B587" s="298"/>
      <c r="C587" s="53"/>
      <c r="D587" s="53"/>
      <c r="E587" s="53"/>
      <c r="F587" s="53"/>
      <c r="G587" s="53"/>
      <c r="H587" s="53"/>
      <c r="I587" s="1032" t="s">
        <v>878</v>
      </c>
      <c r="J587" s="1032" t="s">
        <v>54</v>
      </c>
      <c r="K587" s="1032" t="s">
        <v>877</v>
      </c>
      <c r="L587" s="298"/>
      <c r="M587" s="298"/>
      <c r="N587" s="56"/>
      <c r="O587" s="56"/>
      <c r="P587" s="56"/>
      <c r="Q587" s="56"/>
      <c r="R587" s="56"/>
    </row>
    <row r="588" spans="1:18" s="63" customFormat="1" ht="35.25" customHeight="1">
      <c r="A588" s="689" t="s">
        <v>1187</v>
      </c>
      <c r="B588" s="1011">
        <v>2313</v>
      </c>
      <c r="C588" s="38" t="s">
        <v>27</v>
      </c>
      <c r="D588" s="38" t="s">
        <v>27</v>
      </c>
      <c r="E588" s="38" t="s">
        <v>27</v>
      </c>
      <c r="F588" s="38" t="s">
        <v>27</v>
      </c>
      <c r="G588" s="38" t="s">
        <v>27</v>
      </c>
      <c r="H588" s="38" t="s">
        <v>27</v>
      </c>
      <c r="I588" s="38" t="s">
        <v>27</v>
      </c>
      <c r="J588" s="38" t="s">
        <v>27</v>
      </c>
      <c r="K588" s="38" t="s">
        <v>27</v>
      </c>
      <c r="L588" s="1011" t="s">
        <v>35</v>
      </c>
      <c r="M588" s="1011">
        <v>10</v>
      </c>
      <c r="N588" s="52">
        <f t="shared" ref="N588:R588" si="74">SUM(N590:N590)</f>
        <v>9525.4</v>
      </c>
      <c r="O588" s="52">
        <f t="shared" si="74"/>
        <v>9525.3430000000008</v>
      </c>
      <c r="P588" s="52">
        <f t="shared" si="74"/>
        <v>0</v>
      </c>
      <c r="Q588" s="52">
        <f t="shared" si="74"/>
        <v>0</v>
      </c>
      <c r="R588" s="52">
        <f t="shared" si="74"/>
        <v>0</v>
      </c>
    </row>
    <row r="589" spans="1:18" s="63" customFormat="1" ht="13.5" customHeight="1">
      <c r="A589" s="699" t="s">
        <v>1186</v>
      </c>
      <c r="B589" s="695"/>
      <c r="C589" s="694"/>
      <c r="D589" s="694"/>
      <c r="E589" s="694"/>
      <c r="F589" s="694"/>
      <c r="G589" s="694"/>
      <c r="H589" s="694"/>
      <c r="I589" s="694"/>
      <c r="J589" s="694"/>
      <c r="K589" s="694"/>
      <c r="L589" s="695"/>
      <c r="M589" s="695"/>
      <c r="N589" s="696"/>
      <c r="O589" s="696"/>
      <c r="P589" s="696"/>
      <c r="Q589" s="696"/>
      <c r="R589" s="696"/>
    </row>
    <row r="590" spans="1:18" s="62" customFormat="1" ht="72.75" customHeight="1">
      <c r="A590" s="697" t="s">
        <v>1188</v>
      </c>
      <c r="B590" s="1079" t="s">
        <v>916</v>
      </c>
      <c r="C590" s="270"/>
      <c r="D590" s="270"/>
      <c r="E590" s="270"/>
      <c r="F590" s="1274" t="s">
        <v>391</v>
      </c>
      <c r="G590" s="361" t="s">
        <v>530</v>
      </c>
      <c r="H590" s="361" t="s">
        <v>392</v>
      </c>
      <c r="I590" s="251" t="s">
        <v>920</v>
      </c>
      <c r="J590" s="251" t="s">
        <v>54</v>
      </c>
      <c r="K590" s="251" t="s">
        <v>921</v>
      </c>
      <c r="L590" s="1079"/>
      <c r="M590" s="1079"/>
      <c r="N590" s="258">
        <v>9525.4</v>
      </c>
      <c r="O590" s="858">
        <v>9525.3430000000008</v>
      </c>
      <c r="P590" s="258">
        <v>0</v>
      </c>
      <c r="Q590" s="258">
        <v>0</v>
      </c>
      <c r="R590" s="258">
        <v>0</v>
      </c>
    </row>
    <row r="591" spans="1:18" s="62" customFormat="1" ht="46.5" customHeight="1">
      <c r="A591" s="698"/>
      <c r="B591" s="1015"/>
      <c r="C591" s="367"/>
      <c r="D591" s="367"/>
      <c r="E591" s="367"/>
      <c r="F591" s="1275"/>
      <c r="G591" s="362"/>
      <c r="H591" s="362"/>
      <c r="I591" s="1042" t="s">
        <v>922</v>
      </c>
      <c r="J591" s="266" t="s">
        <v>54</v>
      </c>
      <c r="K591" s="266" t="s">
        <v>923</v>
      </c>
      <c r="L591" s="1015"/>
      <c r="M591" s="1015"/>
      <c r="N591" s="271"/>
      <c r="O591" s="497"/>
      <c r="P591" s="271"/>
      <c r="Q591" s="271"/>
      <c r="R591" s="271"/>
    </row>
    <row r="592" spans="1:18" s="63" customFormat="1" ht="34.5" customHeight="1">
      <c r="A592" s="694" t="s">
        <v>1189</v>
      </c>
      <c r="B592" s="695">
        <v>2314</v>
      </c>
      <c r="C592" s="694" t="s">
        <v>27</v>
      </c>
      <c r="D592" s="694" t="s">
        <v>27</v>
      </c>
      <c r="E592" s="694" t="s">
        <v>27</v>
      </c>
      <c r="F592" s="694" t="s">
        <v>27</v>
      </c>
      <c r="G592" s="694" t="s">
        <v>27</v>
      </c>
      <c r="H592" s="694" t="s">
        <v>27</v>
      </c>
      <c r="I592" s="700"/>
      <c r="J592" s="701"/>
      <c r="K592" s="702"/>
      <c r="L592" s="1089" t="s">
        <v>35</v>
      </c>
      <c r="M592" s="1089" t="s">
        <v>19</v>
      </c>
      <c r="N592" s="52">
        <f>SUM(N595:N599)</f>
        <v>1799.8000000000002</v>
      </c>
      <c r="O592" s="52">
        <f>SUM(O595:O599)</f>
        <v>1799.8000000000002</v>
      </c>
      <c r="P592" s="52">
        <f>SUM(P595:P598)</f>
        <v>951</v>
      </c>
      <c r="Q592" s="52">
        <f>SUM(Q595:Q598)</f>
        <v>0</v>
      </c>
      <c r="R592" s="52">
        <f>SUM(R595:R598)</f>
        <v>0</v>
      </c>
    </row>
    <row r="593" spans="1:18" s="63" customFormat="1" ht="24">
      <c r="A593" s="704" t="s">
        <v>1190</v>
      </c>
      <c r="B593" s="691"/>
      <c r="C593" s="689"/>
      <c r="D593" s="689"/>
      <c r="E593" s="689"/>
      <c r="F593" s="689"/>
      <c r="G593" s="689"/>
      <c r="H593" s="689"/>
      <c r="I593" s="703"/>
      <c r="J593" s="703"/>
      <c r="K593" s="703"/>
      <c r="L593" s="690"/>
      <c r="M593" s="690"/>
      <c r="N593" s="563"/>
      <c r="O593" s="563"/>
      <c r="P593" s="563"/>
      <c r="Q593" s="563"/>
      <c r="R593" s="563"/>
    </row>
    <row r="594" spans="1:18" s="63" customFormat="1" ht="60.75" customHeight="1">
      <c r="A594" s="704" t="s">
        <v>1191</v>
      </c>
      <c r="B594" s="691"/>
      <c r="C594" s="689"/>
      <c r="D594" s="689"/>
      <c r="E594" s="689"/>
      <c r="F594" s="689"/>
      <c r="G594" s="689"/>
      <c r="H594" s="689"/>
      <c r="I594" s="700" t="s">
        <v>1525</v>
      </c>
      <c r="J594" s="701" t="s">
        <v>947</v>
      </c>
      <c r="K594" s="702" t="s">
        <v>731</v>
      </c>
      <c r="L594" s="690"/>
      <c r="M594" s="690"/>
      <c r="N594" s="563"/>
      <c r="O594" s="563"/>
      <c r="P594" s="563"/>
      <c r="Q594" s="563"/>
      <c r="R594" s="563"/>
    </row>
    <row r="595" spans="1:18" s="62" customFormat="1" ht="60">
      <c r="A595" s="719" t="s">
        <v>1192</v>
      </c>
      <c r="B595" s="298" t="s">
        <v>840</v>
      </c>
      <c r="C595" s="53"/>
      <c r="D595" s="53"/>
      <c r="E595" s="53"/>
      <c r="F595" s="53"/>
      <c r="G595" s="53"/>
      <c r="H595" s="53"/>
      <c r="I595" s="805" t="s">
        <v>1466</v>
      </c>
      <c r="J595" s="805" t="s">
        <v>54</v>
      </c>
      <c r="K595" s="805" t="s">
        <v>1465</v>
      </c>
      <c r="L595" s="298"/>
      <c r="M595" s="298"/>
      <c r="N595" s="56">
        <v>832.2</v>
      </c>
      <c r="O595" s="56">
        <v>832.2</v>
      </c>
      <c r="P595" s="56">
        <v>617</v>
      </c>
      <c r="Q595" s="56">
        <v>0</v>
      </c>
      <c r="R595" s="56">
        <v>0</v>
      </c>
    </row>
    <row r="596" spans="1:18" s="62" customFormat="1" ht="60">
      <c r="A596" s="976"/>
      <c r="B596" s="779" t="s">
        <v>1248</v>
      </c>
      <c r="C596" s="719"/>
      <c r="D596" s="719"/>
      <c r="E596" s="719"/>
      <c r="F596" s="719"/>
      <c r="G596" s="719"/>
      <c r="H596" s="719"/>
      <c r="I596" s="1092" t="s">
        <v>942</v>
      </c>
      <c r="J596" s="1092" t="s">
        <v>54</v>
      </c>
      <c r="K596" s="1097" t="s">
        <v>943</v>
      </c>
      <c r="L596" s="779"/>
      <c r="M596" s="779"/>
      <c r="N596" s="780">
        <v>355</v>
      </c>
      <c r="O596" s="780">
        <v>355</v>
      </c>
      <c r="P596" s="780">
        <v>0</v>
      </c>
      <c r="Q596" s="780">
        <v>0</v>
      </c>
      <c r="R596" s="780">
        <v>0</v>
      </c>
    </row>
    <row r="597" spans="1:18" s="62" customFormat="1" ht="60" hidden="1">
      <c r="A597" s="986"/>
      <c r="B597" s="996" t="s">
        <v>1511</v>
      </c>
      <c r="C597" s="934"/>
      <c r="D597" s="934"/>
      <c r="E597" s="934"/>
      <c r="F597" s="934"/>
      <c r="G597" s="934"/>
      <c r="H597" s="934"/>
      <c r="I597" s="987" t="s">
        <v>1528</v>
      </c>
      <c r="J597" s="987" t="s">
        <v>54</v>
      </c>
      <c r="K597" s="988" t="s">
        <v>1529</v>
      </c>
      <c r="L597" s="996"/>
      <c r="M597" s="996"/>
      <c r="N597" s="989">
        <v>0</v>
      </c>
      <c r="O597" s="989">
        <v>0</v>
      </c>
      <c r="P597" s="989">
        <v>0</v>
      </c>
      <c r="Q597" s="989">
        <v>0</v>
      </c>
      <c r="R597" s="989">
        <v>0</v>
      </c>
    </row>
    <row r="598" spans="1:18" s="62" customFormat="1" ht="61.5" customHeight="1">
      <c r="A598" s="697" t="s">
        <v>1193</v>
      </c>
      <c r="B598" s="358" t="s">
        <v>402</v>
      </c>
      <c r="C598" s="360"/>
      <c r="D598" s="360"/>
      <c r="E598" s="360"/>
      <c r="F598" s="360"/>
      <c r="G598" s="360"/>
      <c r="H598" s="360"/>
      <c r="I598" s="969" t="s">
        <v>1464</v>
      </c>
      <c r="J598" s="969" t="s">
        <v>54</v>
      </c>
      <c r="K598" s="970" t="s">
        <v>1465</v>
      </c>
      <c r="L598" s="358"/>
      <c r="M598" s="358"/>
      <c r="N598" s="359">
        <v>410.6</v>
      </c>
      <c r="O598" s="858">
        <v>410.6</v>
      </c>
      <c r="P598" s="359">
        <v>334</v>
      </c>
      <c r="Q598" s="359">
        <v>0</v>
      </c>
      <c r="R598" s="359">
        <v>0</v>
      </c>
    </row>
    <row r="599" spans="1:18" s="62" customFormat="1" ht="75" customHeight="1">
      <c r="A599" s="172" t="s">
        <v>1250</v>
      </c>
      <c r="B599" s="298" t="s">
        <v>1249</v>
      </c>
      <c r="C599" s="53"/>
      <c r="D599" s="53"/>
      <c r="E599" s="53"/>
      <c r="F599" s="53"/>
      <c r="G599" s="53"/>
      <c r="H599" s="53"/>
      <c r="I599" s="1092" t="s">
        <v>1251</v>
      </c>
      <c r="J599" s="1092" t="s">
        <v>54</v>
      </c>
      <c r="K599" s="1097" t="s">
        <v>1252</v>
      </c>
      <c r="L599" s="298"/>
      <c r="M599" s="298"/>
      <c r="N599" s="56">
        <v>202</v>
      </c>
      <c r="O599" s="56">
        <v>202</v>
      </c>
      <c r="P599" s="56">
        <v>0</v>
      </c>
      <c r="Q599" s="56">
        <v>0</v>
      </c>
      <c r="R599" s="56">
        <v>0</v>
      </c>
    </row>
    <row r="600" spans="1:18" s="63" customFormat="1" ht="48.75" customHeight="1">
      <c r="A600" s="689" t="s">
        <v>1194</v>
      </c>
      <c r="B600" s="691">
        <v>2320</v>
      </c>
      <c r="C600" s="689"/>
      <c r="D600" s="689"/>
      <c r="E600" s="689"/>
      <c r="F600" s="689"/>
      <c r="G600" s="689"/>
      <c r="H600" s="689"/>
      <c r="I600" s="687"/>
      <c r="J600" s="687"/>
      <c r="K600" s="687"/>
      <c r="L600" s="479" t="s">
        <v>20</v>
      </c>
      <c r="M600" s="479" t="s">
        <v>28</v>
      </c>
      <c r="N600" s="563">
        <f t="shared" ref="N600:R600" si="75">SUM(N604:N604)</f>
        <v>9081.2999999999993</v>
      </c>
      <c r="O600" s="563">
        <f t="shared" si="75"/>
        <v>8958.4580000000005</v>
      </c>
      <c r="P600" s="563">
        <f t="shared" si="75"/>
        <v>9976.2999999999993</v>
      </c>
      <c r="Q600" s="563">
        <f t="shared" si="75"/>
        <v>9976.2999999999993</v>
      </c>
      <c r="R600" s="563">
        <f t="shared" si="75"/>
        <v>9976.2999999999993</v>
      </c>
    </row>
    <row r="601" spans="1:18" s="62" customFormat="1" ht="24.75" customHeight="1">
      <c r="A601" s="704" t="s">
        <v>1195</v>
      </c>
      <c r="B601" s="706"/>
      <c r="C601" s="1158" t="s">
        <v>399</v>
      </c>
      <c r="D601" s="1158" t="s">
        <v>400</v>
      </c>
      <c r="E601" s="1158" t="s">
        <v>44</v>
      </c>
      <c r="F601" s="1158" t="s">
        <v>613</v>
      </c>
      <c r="G601" s="1185" t="s">
        <v>614</v>
      </c>
      <c r="H601" s="1185" t="s">
        <v>104</v>
      </c>
      <c r="I601" s="1158" t="s">
        <v>1030</v>
      </c>
      <c r="J601" s="1158" t="s">
        <v>955</v>
      </c>
      <c r="K601" s="1158" t="s">
        <v>731</v>
      </c>
      <c r="L601" s="576"/>
      <c r="M601" s="576"/>
      <c r="N601" s="558"/>
      <c r="O601" s="558"/>
      <c r="P601" s="558"/>
      <c r="Q601" s="558"/>
      <c r="R601" s="558"/>
    </row>
    <row r="602" spans="1:18" s="62" customFormat="1" ht="24.75" customHeight="1">
      <c r="A602" s="704" t="s">
        <v>1196</v>
      </c>
      <c r="B602" s="706"/>
      <c r="C602" s="1159"/>
      <c r="D602" s="1159"/>
      <c r="E602" s="1159"/>
      <c r="F602" s="1159"/>
      <c r="G602" s="1186"/>
      <c r="H602" s="1186"/>
      <c r="I602" s="1159"/>
      <c r="J602" s="1159"/>
      <c r="K602" s="1159"/>
      <c r="L602" s="576"/>
      <c r="M602" s="576"/>
      <c r="N602" s="558"/>
      <c r="O602" s="558"/>
      <c r="P602" s="558"/>
      <c r="Q602" s="558"/>
      <c r="R602" s="558"/>
    </row>
    <row r="603" spans="1:18" s="62" customFormat="1" ht="24.75" customHeight="1">
      <c r="A603" s="704" t="s">
        <v>1197</v>
      </c>
      <c r="B603" s="706"/>
      <c r="C603" s="1159"/>
      <c r="D603" s="1159"/>
      <c r="E603" s="1159"/>
      <c r="F603" s="1159"/>
      <c r="G603" s="1186"/>
      <c r="H603" s="1186"/>
      <c r="I603" s="1167"/>
      <c r="J603" s="1167"/>
      <c r="K603" s="1167"/>
      <c r="L603" s="576"/>
      <c r="M603" s="576"/>
      <c r="N603" s="558"/>
      <c r="O603" s="558"/>
      <c r="P603" s="558"/>
      <c r="Q603" s="558"/>
      <c r="R603" s="558"/>
    </row>
    <row r="604" spans="1:18" s="62" customFormat="1" ht="48">
      <c r="A604" s="577" t="s">
        <v>1197</v>
      </c>
      <c r="B604" s="707" t="s">
        <v>351</v>
      </c>
      <c r="C604" s="1160"/>
      <c r="D604" s="1160"/>
      <c r="E604" s="1160"/>
      <c r="F604" s="1160"/>
      <c r="G604" s="1187"/>
      <c r="H604" s="1187"/>
      <c r="I604" s="969" t="s">
        <v>1454</v>
      </c>
      <c r="J604" s="969" t="s">
        <v>54</v>
      </c>
      <c r="K604" s="970" t="s">
        <v>1455</v>
      </c>
      <c r="L604" s="1064"/>
      <c r="M604" s="1064"/>
      <c r="N604" s="465">
        <v>9081.2999999999993</v>
      </c>
      <c r="O604" s="485">
        <v>8958.4580000000005</v>
      </c>
      <c r="P604" s="485">
        <v>9976.2999999999993</v>
      </c>
      <c r="Q604" s="485">
        <v>9976.2999999999993</v>
      </c>
      <c r="R604" s="485">
        <v>9976.2999999999993</v>
      </c>
    </row>
    <row r="605" spans="1:18" s="63" customFormat="1" ht="35.25" customHeight="1">
      <c r="A605" s="676" t="s">
        <v>474</v>
      </c>
      <c r="B605" s="705" t="s">
        <v>475</v>
      </c>
      <c r="C605" s="676"/>
      <c r="D605" s="676"/>
      <c r="E605" s="676"/>
      <c r="F605" s="676"/>
      <c r="G605" s="676"/>
      <c r="H605" s="676"/>
      <c r="I605" s="676"/>
      <c r="J605" s="676"/>
      <c r="K605" s="676"/>
      <c r="L605" s="479"/>
      <c r="M605" s="479"/>
      <c r="N605" s="554">
        <f>SUM(N606:N618)</f>
        <v>2345.3330000000001</v>
      </c>
      <c r="O605" s="554">
        <f>SUM(O606:O618)</f>
        <v>2337.2049999999999</v>
      </c>
      <c r="P605" s="554">
        <f>SUM(P608:P618)</f>
        <v>1175.5309999999999</v>
      </c>
      <c r="Q605" s="554">
        <f t="shared" ref="Q605:R605" si="76">SUM(Q609:Q620)</f>
        <v>0</v>
      </c>
      <c r="R605" s="554">
        <f t="shared" si="76"/>
        <v>0</v>
      </c>
    </row>
    <row r="606" spans="1:18" s="63" customFormat="1" ht="24">
      <c r="A606" s="708" t="s">
        <v>967</v>
      </c>
      <c r="B606" s="709"/>
      <c r="C606" s="710"/>
      <c r="D606" s="710"/>
      <c r="E606" s="710"/>
      <c r="F606" s="710"/>
      <c r="G606" s="710"/>
      <c r="H606" s="710"/>
      <c r="I606" s="1320" t="s">
        <v>1030</v>
      </c>
      <c r="J606" s="1320" t="s">
        <v>955</v>
      </c>
      <c r="K606" s="1320" t="s">
        <v>731</v>
      </c>
      <c r="L606" s="1120"/>
      <c r="M606" s="1120"/>
      <c r="N606" s="710"/>
      <c r="O606" s="710"/>
      <c r="P606" s="710"/>
      <c r="Q606" s="710"/>
      <c r="R606" s="710"/>
    </row>
    <row r="607" spans="1:18" s="63" customFormat="1" ht="24">
      <c r="A607" s="712" t="s">
        <v>1198</v>
      </c>
      <c r="B607" s="713"/>
      <c r="C607" s="714"/>
      <c r="D607" s="714"/>
      <c r="E607" s="714"/>
      <c r="F607" s="714"/>
      <c r="G607" s="714"/>
      <c r="H607" s="714"/>
      <c r="I607" s="1249"/>
      <c r="J607" s="1249"/>
      <c r="K607" s="1249"/>
      <c r="L607" s="715"/>
      <c r="M607" s="715"/>
      <c r="N607" s="714"/>
      <c r="O607" s="714"/>
      <c r="P607" s="714"/>
      <c r="Q607" s="714"/>
      <c r="R607" s="714"/>
    </row>
    <row r="608" spans="1:18" s="62" customFormat="1" ht="48" customHeight="1">
      <c r="A608" s="716" t="s">
        <v>1199</v>
      </c>
      <c r="B608" s="413" t="s">
        <v>1268</v>
      </c>
      <c r="C608" s="1005"/>
      <c r="D608" s="1005"/>
      <c r="E608" s="1005"/>
      <c r="F608" s="1005"/>
      <c r="G608" s="1005"/>
      <c r="H608" s="1005"/>
      <c r="I608" s="717" t="s">
        <v>1395</v>
      </c>
      <c r="J608" s="1005" t="s">
        <v>54</v>
      </c>
      <c r="K608" s="1005" t="s">
        <v>1387</v>
      </c>
      <c r="L608" s="1003" t="s">
        <v>20</v>
      </c>
      <c r="M608" s="1003" t="s">
        <v>31</v>
      </c>
      <c r="N608" s="238">
        <v>669</v>
      </c>
      <c r="O608" s="497">
        <v>669</v>
      </c>
      <c r="P608" s="238">
        <v>780</v>
      </c>
      <c r="Q608" s="238">
        <v>0</v>
      </c>
      <c r="R608" s="238">
        <v>0</v>
      </c>
    </row>
    <row r="609" spans="1:18" s="62" customFormat="1" ht="60" customHeight="1">
      <c r="A609" s="721" t="s">
        <v>1200</v>
      </c>
      <c r="B609" s="413" t="s">
        <v>361</v>
      </c>
      <c r="C609" s="718"/>
      <c r="D609" s="718"/>
      <c r="E609" s="718"/>
      <c r="F609" s="718"/>
      <c r="G609" s="718"/>
      <c r="H609" s="718"/>
      <c r="I609" s="1002" t="s">
        <v>1388</v>
      </c>
      <c r="J609" s="718" t="s">
        <v>54</v>
      </c>
      <c r="K609" s="1002" t="s">
        <v>1389</v>
      </c>
      <c r="L609" s="711" t="s">
        <v>20</v>
      </c>
      <c r="M609" s="711" t="s">
        <v>31</v>
      </c>
      <c r="N609" s="859">
        <v>333.93299999999999</v>
      </c>
      <c r="O609" s="859">
        <v>333.93299999999999</v>
      </c>
      <c r="P609" s="859">
        <v>395.53100000000001</v>
      </c>
      <c r="Q609" s="859">
        <v>0</v>
      </c>
      <c r="R609" s="859">
        <v>0</v>
      </c>
    </row>
    <row r="610" spans="1:18" s="62" customFormat="1" ht="69.75" customHeight="1">
      <c r="A610" s="720"/>
      <c r="B610" s="413" t="s">
        <v>1253</v>
      </c>
      <c r="C610" s="791"/>
      <c r="D610" s="791"/>
      <c r="E610" s="791"/>
      <c r="F610" s="791"/>
      <c r="G610" s="791"/>
      <c r="H610" s="791"/>
      <c r="I610" s="1030" t="s">
        <v>1254</v>
      </c>
      <c r="J610" s="792" t="s">
        <v>54</v>
      </c>
      <c r="K610" s="792" t="s">
        <v>1255</v>
      </c>
      <c r="L610" s="793" t="s">
        <v>20</v>
      </c>
      <c r="M610" s="793" t="s">
        <v>31</v>
      </c>
      <c r="N610" s="794">
        <v>78</v>
      </c>
      <c r="O610" s="794">
        <v>78</v>
      </c>
      <c r="P610" s="794">
        <v>0</v>
      </c>
      <c r="Q610" s="794">
        <v>0</v>
      </c>
      <c r="R610" s="794">
        <v>0</v>
      </c>
    </row>
    <row r="611" spans="1:18" s="62" customFormat="1" ht="72">
      <c r="A611" s="720"/>
      <c r="B611" s="413" t="s">
        <v>379</v>
      </c>
      <c r="C611" s="791"/>
      <c r="D611" s="791"/>
      <c r="E611" s="791"/>
      <c r="F611" s="791"/>
      <c r="G611" s="791"/>
      <c r="H611" s="791"/>
      <c r="I611" s="1030" t="s">
        <v>1256</v>
      </c>
      <c r="J611" s="792" t="s">
        <v>54</v>
      </c>
      <c r="K611" s="792" t="s">
        <v>1257</v>
      </c>
      <c r="L611" s="793" t="s">
        <v>20</v>
      </c>
      <c r="M611" s="793" t="s">
        <v>31</v>
      </c>
      <c r="N611" s="794">
        <v>50</v>
      </c>
      <c r="O611" s="794">
        <v>45.893999999999998</v>
      </c>
      <c r="P611" s="794">
        <v>0</v>
      </c>
      <c r="Q611" s="794">
        <v>0</v>
      </c>
      <c r="R611" s="794">
        <v>0</v>
      </c>
    </row>
    <row r="612" spans="1:18" s="62" customFormat="1" ht="62.25" customHeight="1">
      <c r="A612" s="720"/>
      <c r="B612" s="244" t="s">
        <v>1512</v>
      </c>
      <c r="C612" s="395"/>
      <c r="D612" s="395"/>
      <c r="E612" s="395"/>
      <c r="F612" s="395"/>
      <c r="G612" s="395"/>
      <c r="H612" s="395"/>
      <c r="I612" s="1031" t="s">
        <v>1516</v>
      </c>
      <c r="J612" s="395" t="s">
        <v>54</v>
      </c>
      <c r="K612" s="395" t="s">
        <v>1517</v>
      </c>
      <c r="L612" s="298" t="s">
        <v>20</v>
      </c>
      <c r="M612" s="298" t="s">
        <v>31</v>
      </c>
      <c r="N612" s="56">
        <v>78</v>
      </c>
      <c r="O612" s="56">
        <v>77.7</v>
      </c>
      <c r="P612" s="56">
        <v>0</v>
      </c>
      <c r="Q612" s="56">
        <v>0</v>
      </c>
      <c r="R612" s="56">
        <v>0</v>
      </c>
    </row>
    <row r="613" spans="1:18" s="62" customFormat="1" ht="46.5" customHeight="1">
      <c r="A613" s="463"/>
      <c r="B613" s="244" t="s">
        <v>897</v>
      </c>
      <c r="C613" s="577"/>
      <c r="D613" s="577"/>
      <c r="E613" s="577"/>
      <c r="F613" s="577"/>
      <c r="G613" s="577"/>
      <c r="H613" s="577"/>
      <c r="I613" s="1031" t="s">
        <v>902</v>
      </c>
      <c r="J613" s="410" t="s">
        <v>54</v>
      </c>
      <c r="K613" s="410" t="s">
        <v>901</v>
      </c>
      <c r="L613" s="211" t="s">
        <v>20</v>
      </c>
      <c r="M613" s="211" t="s">
        <v>31</v>
      </c>
      <c r="N613" s="212">
        <v>332</v>
      </c>
      <c r="O613" s="56">
        <v>329</v>
      </c>
      <c r="P613" s="212">
        <v>0</v>
      </c>
      <c r="Q613" s="212">
        <v>0</v>
      </c>
      <c r="R613" s="212">
        <v>0</v>
      </c>
    </row>
    <row r="614" spans="1:18" s="62" customFormat="1" ht="48" customHeight="1">
      <c r="A614" s="722" t="s">
        <v>1201</v>
      </c>
      <c r="B614" s="711" t="s">
        <v>898</v>
      </c>
      <c r="C614" s="795"/>
      <c r="D614" s="795"/>
      <c r="E614" s="795"/>
      <c r="F614" s="795"/>
      <c r="G614" s="795"/>
      <c r="H614" s="795"/>
      <c r="I614" s="1004" t="s">
        <v>900</v>
      </c>
      <c r="J614" s="410" t="s">
        <v>54</v>
      </c>
      <c r="K614" s="410" t="s">
        <v>901</v>
      </c>
      <c r="L614" s="338" t="s">
        <v>20</v>
      </c>
      <c r="M614" s="338" t="s">
        <v>31</v>
      </c>
      <c r="N614" s="339">
        <v>60</v>
      </c>
      <c r="O614" s="56">
        <v>60</v>
      </c>
      <c r="P614" s="339">
        <v>0</v>
      </c>
      <c r="Q614" s="339">
        <v>0</v>
      </c>
      <c r="R614" s="339">
        <v>0</v>
      </c>
    </row>
    <row r="615" spans="1:18" s="62" customFormat="1" ht="97.5" customHeight="1">
      <c r="A615" s="723"/>
      <c r="B615" s="576" t="s">
        <v>545</v>
      </c>
      <c r="C615" s="718"/>
      <c r="D615" s="718"/>
      <c r="E615" s="718"/>
      <c r="F615" s="718"/>
      <c r="G615" s="718"/>
      <c r="H615" s="718"/>
      <c r="I615" s="1031" t="s">
        <v>910</v>
      </c>
      <c r="J615" s="410" t="s">
        <v>54</v>
      </c>
      <c r="K615" s="410" t="s">
        <v>968</v>
      </c>
      <c r="L615" s="211" t="s">
        <v>20</v>
      </c>
      <c r="M615" s="211" t="s">
        <v>31</v>
      </c>
      <c r="N615" s="212">
        <v>600</v>
      </c>
      <c r="O615" s="56">
        <v>600</v>
      </c>
      <c r="P615" s="212">
        <v>0</v>
      </c>
      <c r="Q615" s="212">
        <v>0</v>
      </c>
      <c r="R615" s="212">
        <v>0</v>
      </c>
    </row>
    <row r="616" spans="1:18" s="62" customFormat="1" ht="12" customHeight="1">
      <c r="A616" s="724" t="s">
        <v>969</v>
      </c>
      <c r="B616" s="240"/>
      <c r="C616" s="1084"/>
      <c r="D616" s="1084"/>
      <c r="E616" s="1084"/>
      <c r="F616" s="1084"/>
      <c r="G616" s="1084"/>
      <c r="H616" s="1084"/>
      <c r="I616" s="542"/>
      <c r="J616" s="411"/>
      <c r="K616" s="411"/>
      <c r="L616" s="240"/>
      <c r="M616" s="240"/>
      <c r="N616" s="262"/>
      <c r="O616" s="214"/>
      <c r="P616" s="262"/>
      <c r="Q616" s="262"/>
      <c r="R616" s="262"/>
    </row>
    <row r="617" spans="1:18" s="62" customFormat="1" ht="46.5" customHeight="1">
      <c r="A617" s="54" t="s">
        <v>1202</v>
      </c>
      <c r="B617" s="1177" t="s">
        <v>373</v>
      </c>
      <c r="C617" s="1179"/>
      <c r="D617" s="1179"/>
      <c r="E617" s="1179"/>
      <c r="F617" s="1179" t="s">
        <v>391</v>
      </c>
      <c r="G617" s="1179" t="s">
        <v>530</v>
      </c>
      <c r="H617" s="1179" t="s">
        <v>392</v>
      </c>
      <c r="I617" s="1014" t="s">
        <v>970</v>
      </c>
      <c r="J617" s="1014" t="s">
        <v>54</v>
      </c>
      <c r="K617" s="1014" t="s">
        <v>903</v>
      </c>
      <c r="L617" s="1177" t="s">
        <v>20</v>
      </c>
      <c r="M617" s="1177" t="s">
        <v>31</v>
      </c>
      <c r="N617" s="1329">
        <v>144.4</v>
      </c>
      <c r="O617" s="860">
        <v>143.678</v>
      </c>
      <c r="P617" s="1331">
        <v>0</v>
      </c>
      <c r="Q617" s="1331">
        <v>0</v>
      </c>
      <c r="R617" s="1331">
        <v>0</v>
      </c>
    </row>
    <row r="618" spans="1:18" s="62" customFormat="1" ht="63" customHeight="1">
      <c r="A618" s="795"/>
      <c r="B618" s="1178"/>
      <c r="C618" s="1149"/>
      <c r="D618" s="1149"/>
      <c r="E618" s="1149"/>
      <c r="F618" s="1149"/>
      <c r="G618" s="1149"/>
      <c r="H618" s="1149"/>
      <c r="I618" s="999" t="s">
        <v>1036</v>
      </c>
      <c r="J618" s="999" t="s">
        <v>54</v>
      </c>
      <c r="K618" s="999" t="s">
        <v>911</v>
      </c>
      <c r="L618" s="1178"/>
      <c r="M618" s="1178"/>
      <c r="N618" s="1330"/>
      <c r="O618" s="861"/>
      <c r="P618" s="1332"/>
      <c r="Q618" s="1332"/>
      <c r="R618" s="1332"/>
    </row>
    <row r="619" spans="1:18" s="63" customFormat="1" ht="13.5" customHeight="1">
      <c r="A619" s="1151" t="s">
        <v>971</v>
      </c>
      <c r="B619" s="248">
        <v>2324</v>
      </c>
      <c r="C619" s="247"/>
      <c r="D619" s="247"/>
      <c r="E619" s="247"/>
      <c r="F619" s="247"/>
      <c r="G619" s="247"/>
      <c r="H619" s="247"/>
      <c r="I619" s="246"/>
      <c r="J619" s="242"/>
      <c r="K619" s="246"/>
      <c r="L619" s="248"/>
      <c r="M619" s="249"/>
      <c r="N619" s="250">
        <f t="shared" ref="N619:R619" si="77">SUM(N620:N620)</f>
        <v>597.79999999999995</v>
      </c>
      <c r="O619" s="250">
        <f t="shared" si="77"/>
        <v>597.79999999999995</v>
      </c>
      <c r="P619" s="250">
        <f t="shared" si="77"/>
        <v>672</v>
      </c>
      <c r="Q619" s="250">
        <f t="shared" si="77"/>
        <v>0</v>
      </c>
      <c r="R619" s="250">
        <f t="shared" si="77"/>
        <v>0</v>
      </c>
    </row>
    <row r="620" spans="1:18" s="62" customFormat="1" ht="72">
      <c r="A620" s="1155"/>
      <c r="B620" s="298" t="s">
        <v>783</v>
      </c>
      <c r="C620" s="1032"/>
      <c r="D620" s="1032"/>
      <c r="E620" s="1032"/>
      <c r="F620" s="1032"/>
      <c r="G620" s="1032"/>
      <c r="H620" s="1032"/>
      <c r="I620" s="1092" t="s">
        <v>1498</v>
      </c>
      <c r="J620" s="1092" t="s">
        <v>54</v>
      </c>
      <c r="K620" s="1097" t="s">
        <v>1499</v>
      </c>
      <c r="L620" s="298" t="s">
        <v>30</v>
      </c>
      <c r="M620" s="298" t="s">
        <v>35</v>
      </c>
      <c r="N620" s="56">
        <v>597.79999999999995</v>
      </c>
      <c r="O620" s="56">
        <v>597.79999999999995</v>
      </c>
      <c r="P620" s="56">
        <v>672</v>
      </c>
      <c r="Q620" s="56">
        <v>0</v>
      </c>
      <c r="R620" s="56">
        <v>0</v>
      </c>
    </row>
    <row r="621" spans="1:18" s="63" customFormat="1" ht="84" customHeight="1">
      <c r="A621" s="728" t="s">
        <v>476</v>
      </c>
      <c r="B621" s="1000">
        <v>2326</v>
      </c>
      <c r="C621" s="812" t="s">
        <v>27</v>
      </c>
      <c r="D621" s="812" t="s">
        <v>27</v>
      </c>
      <c r="E621" s="812" t="s">
        <v>27</v>
      </c>
      <c r="F621" s="812" t="s">
        <v>27</v>
      </c>
      <c r="G621" s="812" t="s">
        <v>27</v>
      </c>
      <c r="H621" s="812" t="s">
        <v>27</v>
      </c>
      <c r="I621" s="812" t="s">
        <v>27</v>
      </c>
      <c r="J621" s="812" t="s">
        <v>27</v>
      </c>
      <c r="K621" s="812" t="s">
        <v>27</v>
      </c>
      <c r="L621" s="1000"/>
      <c r="M621" s="1000"/>
      <c r="N621" s="813">
        <f>SUM(N622:N644)</f>
        <v>29462.004000000001</v>
      </c>
      <c r="O621" s="813">
        <f t="shared" ref="O621:R621" si="78">SUM(O622:O644)</f>
        <v>15497.260000000002</v>
      </c>
      <c r="P621" s="813">
        <f t="shared" si="78"/>
        <v>19757.960999999999</v>
      </c>
      <c r="Q621" s="813">
        <f t="shared" si="78"/>
        <v>0</v>
      </c>
      <c r="R621" s="813">
        <f t="shared" si="78"/>
        <v>0</v>
      </c>
    </row>
    <row r="622" spans="1:18" s="63" customFormat="1" ht="24">
      <c r="A622" s="708" t="s">
        <v>972</v>
      </c>
      <c r="B622" s="729"/>
      <c r="C622" s="727"/>
      <c r="D622" s="727"/>
      <c r="E622" s="727"/>
      <c r="F622" s="727"/>
      <c r="G622" s="727"/>
      <c r="H622" s="727"/>
      <c r="I622" s="734"/>
      <c r="J622" s="1027"/>
      <c r="K622" s="1027"/>
      <c r="L622" s="729"/>
      <c r="M622" s="729"/>
      <c r="N622" s="730"/>
      <c r="O622" s="664"/>
      <c r="P622" s="664"/>
      <c r="Q622" s="664"/>
      <c r="R622" s="731"/>
    </row>
    <row r="623" spans="1:18" s="63" customFormat="1" ht="73.5" customHeight="1">
      <c r="A623" s="889" t="s">
        <v>1203</v>
      </c>
      <c r="B623" s="884"/>
      <c r="C623" s="929"/>
      <c r="D623" s="929"/>
      <c r="E623" s="929"/>
      <c r="F623" s="929"/>
      <c r="G623" s="929"/>
      <c r="H623" s="929"/>
      <c r="I623" s="952" t="s">
        <v>1478</v>
      </c>
      <c r="J623" s="952" t="s">
        <v>54</v>
      </c>
      <c r="K623" s="952" t="s">
        <v>732</v>
      </c>
      <c r="L623" s="884"/>
      <c r="M623" s="884"/>
      <c r="N623" s="885"/>
      <c r="O623" s="885"/>
      <c r="P623" s="885"/>
      <c r="Q623" s="885"/>
      <c r="R623" s="930"/>
    </row>
    <row r="624" spans="1:18" s="62" customFormat="1" ht="84" customHeight="1">
      <c r="A624" s="995" t="s">
        <v>1204</v>
      </c>
      <c r="B624" s="996" t="s">
        <v>368</v>
      </c>
      <c r="C624" s="934"/>
      <c r="D624" s="934"/>
      <c r="E624" s="934"/>
      <c r="F624" s="934"/>
      <c r="G624" s="934"/>
      <c r="H624" s="934"/>
      <c r="I624" s="1017" t="s">
        <v>1462</v>
      </c>
      <c r="J624" s="1107" t="s">
        <v>54</v>
      </c>
      <c r="K624" s="971" t="s">
        <v>1406</v>
      </c>
      <c r="L624" s="996" t="s">
        <v>30</v>
      </c>
      <c r="M624" s="996" t="s">
        <v>35</v>
      </c>
      <c r="N624" s="935">
        <v>127.7</v>
      </c>
      <c r="O624" s="935">
        <v>127.7</v>
      </c>
      <c r="P624" s="935">
        <v>285</v>
      </c>
      <c r="Q624" s="935">
        <v>0</v>
      </c>
      <c r="R624" s="935">
        <v>0</v>
      </c>
    </row>
    <row r="625" spans="1:18" s="62" customFormat="1" ht="47.25" customHeight="1">
      <c r="A625" s="998"/>
      <c r="B625" s="1013" t="s">
        <v>1448</v>
      </c>
      <c r="C625" s="795"/>
      <c r="D625" s="795"/>
      <c r="E625" s="795"/>
      <c r="F625" s="795"/>
      <c r="G625" s="795"/>
      <c r="H625" s="795"/>
      <c r="I625" s="1183" t="s">
        <v>1468</v>
      </c>
      <c r="J625" s="1107" t="s">
        <v>54</v>
      </c>
      <c r="K625" s="971" t="s">
        <v>1469</v>
      </c>
      <c r="L625" s="1013" t="s">
        <v>30</v>
      </c>
      <c r="M625" s="1013" t="s">
        <v>35</v>
      </c>
      <c r="N625" s="743">
        <v>441.93</v>
      </c>
      <c r="O625" s="743">
        <v>441.93</v>
      </c>
      <c r="P625" s="743">
        <v>1935.15</v>
      </c>
      <c r="Q625" s="743">
        <v>0</v>
      </c>
      <c r="R625" s="743">
        <v>0</v>
      </c>
    </row>
    <row r="626" spans="1:18" s="62" customFormat="1" ht="24">
      <c r="A626" s="928"/>
      <c r="B626" s="951" t="s">
        <v>1449</v>
      </c>
      <c r="C626" s="925"/>
      <c r="D626" s="925"/>
      <c r="E626" s="925"/>
      <c r="F626" s="925"/>
      <c r="G626" s="925"/>
      <c r="H626" s="925"/>
      <c r="I626" s="1184"/>
      <c r="J626" s="936"/>
      <c r="K626" s="937"/>
      <c r="L626" s="951" t="s">
        <v>30</v>
      </c>
      <c r="M626" s="951" t="s">
        <v>35</v>
      </c>
      <c r="N626" s="926">
        <v>0</v>
      </c>
      <c r="O626" s="926">
        <v>0</v>
      </c>
      <c r="P626" s="926">
        <v>59.85</v>
      </c>
      <c r="Q626" s="926">
        <v>0</v>
      </c>
      <c r="R626" s="926">
        <v>0</v>
      </c>
    </row>
    <row r="627" spans="1:18" s="63" customFormat="1" ht="47.25" customHeight="1">
      <c r="A627" s="708" t="s">
        <v>1205</v>
      </c>
      <c r="B627" s="729"/>
      <c r="C627" s="727"/>
      <c r="D627" s="727"/>
      <c r="E627" s="727"/>
      <c r="F627" s="727"/>
      <c r="G627" s="727"/>
      <c r="H627" s="727"/>
      <c r="I627" s="999" t="s">
        <v>882</v>
      </c>
      <c r="J627" s="999" t="s">
        <v>54</v>
      </c>
      <c r="K627" s="999" t="s">
        <v>863</v>
      </c>
      <c r="L627" s="931"/>
      <c r="M627" s="931"/>
      <c r="N627" s="932"/>
      <c r="O627" s="932"/>
      <c r="P627" s="932"/>
      <c r="Q627" s="932"/>
      <c r="R627" s="933"/>
    </row>
    <row r="628" spans="1:18" s="62" customFormat="1" ht="48" customHeight="1">
      <c r="A628" s="735" t="s">
        <v>1258</v>
      </c>
      <c r="B628" s="736" t="s">
        <v>546</v>
      </c>
      <c r="C628" s="737"/>
      <c r="D628" s="737"/>
      <c r="E628" s="737"/>
      <c r="F628" s="737"/>
      <c r="G628" s="737"/>
      <c r="H628" s="737"/>
      <c r="I628" s="738" t="s">
        <v>1398</v>
      </c>
      <c r="J628" s="1092" t="s">
        <v>54</v>
      </c>
      <c r="K628" s="1097" t="s">
        <v>849</v>
      </c>
      <c r="L628" s="298" t="s">
        <v>30</v>
      </c>
      <c r="M628" s="298" t="s">
        <v>35</v>
      </c>
      <c r="N628" s="60">
        <v>3449</v>
      </c>
      <c r="O628" s="60">
        <v>3448.9839999999999</v>
      </c>
      <c r="P628" s="60">
        <v>0</v>
      </c>
      <c r="Q628" s="60">
        <v>0</v>
      </c>
      <c r="R628" s="60">
        <v>0</v>
      </c>
    </row>
    <row r="629" spans="1:18" s="62" customFormat="1" ht="51" customHeight="1">
      <c r="A629" s="739" t="s">
        <v>1451</v>
      </c>
      <c r="B629" s="732"/>
      <c r="C629" s="733"/>
      <c r="D629" s="733"/>
      <c r="E629" s="733"/>
      <c r="F629" s="733"/>
      <c r="G629" s="733"/>
      <c r="H629" s="733"/>
      <c r="I629" s="972" t="s">
        <v>1393</v>
      </c>
      <c r="J629" s="973" t="s">
        <v>54</v>
      </c>
      <c r="K629" s="973" t="s">
        <v>1450</v>
      </c>
      <c r="L629" s="413"/>
      <c r="M629" s="732"/>
      <c r="N629" s="574"/>
      <c r="O629" s="574"/>
      <c r="P629" s="574"/>
      <c r="Q629" s="574"/>
      <c r="R629" s="574"/>
    </row>
    <row r="630" spans="1:18" s="62" customFormat="1" ht="86.25" customHeight="1">
      <c r="A630" s="799" t="s">
        <v>1452</v>
      </c>
      <c r="B630" s="1003" t="s">
        <v>578</v>
      </c>
      <c r="C630" s="243"/>
      <c r="D630" s="243"/>
      <c r="E630" s="243"/>
      <c r="F630" s="243"/>
      <c r="G630" s="243"/>
      <c r="H630" s="243"/>
      <c r="I630" s="1075" t="s">
        <v>1534</v>
      </c>
      <c r="J630" s="252" t="s">
        <v>54</v>
      </c>
      <c r="K630" s="254" t="s">
        <v>1457</v>
      </c>
      <c r="L630" s="244" t="s">
        <v>30</v>
      </c>
      <c r="M630" s="298" t="s">
        <v>35</v>
      </c>
      <c r="N630" s="245">
        <v>349.29</v>
      </c>
      <c r="O630" s="574">
        <v>345.37</v>
      </c>
      <c r="P630" s="245">
        <v>2574.538</v>
      </c>
      <c r="Q630" s="245">
        <v>0</v>
      </c>
      <c r="R630" s="245">
        <v>0</v>
      </c>
    </row>
    <row r="631" spans="1:18" s="62" customFormat="1" ht="59.25" customHeight="1">
      <c r="A631" s="795"/>
      <c r="B631" s="1003" t="s">
        <v>676</v>
      </c>
      <c r="C631" s="243"/>
      <c r="D631" s="243"/>
      <c r="E631" s="243"/>
      <c r="F631" s="243"/>
      <c r="G631" s="243"/>
      <c r="H631" s="243"/>
      <c r="I631" s="1075" t="s">
        <v>1459</v>
      </c>
      <c r="J631" s="252" t="s">
        <v>54</v>
      </c>
      <c r="K631" s="254" t="s">
        <v>1457</v>
      </c>
      <c r="L631" s="244" t="s">
        <v>30</v>
      </c>
      <c r="M631" s="298" t="s">
        <v>35</v>
      </c>
      <c r="N631" s="245">
        <v>774.8</v>
      </c>
      <c r="O631" s="574">
        <v>774.61199999999997</v>
      </c>
      <c r="P631" s="245">
        <v>982.803</v>
      </c>
      <c r="Q631" s="245">
        <v>0</v>
      </c>
      <c r="R631" s="245">
        <v>0</v>
      </c>
    </row>
    <row r="632" spans="1:18" s="62" customFormat="1" ht="70.5" customHeight="1">
      <c r="A632" s="938"/>
      <c r="B632" s="1016" t="s">
        <v>1259</v>
      </c>
      <c r="C632" s="796"/>
      <c r="D632" s="796"/>
      <c r="E632" s="796"/>
      <c r="F632" s="796"/>
      <c r="G632" s="796"/>
      <c r="H632" s="796"/>
      <c r="I632" s="798" t="s">
        <v>1260</v>
      </c>
      <c r="J632" s="1092" t="s">
        <v>54</v>
      </c>
      <c r="K632" s="1097" t="s">
        <v>1261</v>
      </c>
      <c r="L632" s="413" t="s">
        <v>30</v>
      </c>
      <c r="M632" s="1016" t="s">
        <v>35</v>
      </c>
      <c r="N632" s="797">
        <v>390</v>
      </c>
      <c r="O632" s="797">
        <v>350</v>
      </c>
      <c r="P632" s="797">
        <v>0</v>
      </c>
      <c r="Q632" s="797">
        <v>0</v>
      </c>
      <c r="R632" s="797">
        <v>0</v>
      </c>
    </row>
    <row r="633" spans="1:18" s="62" customFormat="1" ht="73.5" customHeight="1">
      <c r="A633" s="984"/>
      <c r="B633" s="732" t="s">
        <v>569</v>
      </c>
      <c r="C633" s="733"/>
      <c r="D633" s="733"/>
      <c r="E633" s="733"/>
      <c r="F633" s="733"/>
      <c r="G633" s="733"/>
      <c r="H633" s="733"/>
      <c r="I633" s="1075" t="s">
        <v>1461</v>
      </c>
      <c r="J633" s="252" t="s">
        <v>54</v>
      </c>
      <c r="K633" s="254" t="s">
        <v>1406</v>
      </c>
      <c r="L633" s="413" t="s">
        <v>30</v>
      </c>
      <c r="M633" s="732" t="s">
        <v>35</v>
      </c>
      <c r="N633" s="574">
        <v>13920.62</v>
      </c>
      <c r="O633" s="574">
        <v>0</v>
      </c>
      <c r="P633" s="574">
        <f>2232.72+11687.9</f>
        <v>13920.619999999999</v>
      </c>
      <c r="Q633" s="574">
        <v>0</v>
      </c>
      <c r="R633" s="574">
        <v>0</v>
      </c>
    </row>
    <row r="634" spans="1:18" s="62" customFormat="1" ht="72">
      <c r="A634" s="985"/>
      <c r="B634" s="990" t="s">
        <v>1513</v>
      </c>
      <c r="C634" s="986"/>
      <c r="D634" s="986"/>
      <c r="E634" s="986"/>
      <c r="F634" s="986"/>
      <c r="G634" s="986"/>
      <c r="H634" s="986"/>
      <c r="I634" s="967" t="s">
        <v>1532</v>
      </c>
      <c r="J634" s="987" t="s">
        <v>54</v>
      </c>
      <c r="K634" s="991" t="s">
        <v>1533</v>
      </c>
      <c r="L634" s="968" t="s">
        <v>30</v>
      </c>
      <c r="M634" s="990" t="s">
        <v>35</v>
      </c>
      <c r="N634" s="992">
        <v>0</v>
      </c>
      <c r="O634" s="992">
        <v>0</v>
      </c>
      <c r="P634" s="992">
        <v>0</v>
      </c>
      <c r="Q634" s="992">
        <v>0</v>
      </c>
      <c r="R634" s="992">
        <v>0</v>
      </c>
    </row>
    <row r="635" spans="1:18" s="62" customFormat="1" ht="12" customHeight="1">
      <c r="A635" s="122" t="s">
        <v>973</v>
      </c>
      <c r="B635" s="296"/>
      <c r="C635" s="57"/>
      <c r="D635" s="57"/>
      <c r="E635" s="57"/>
      <c r="F635" s="57"/>
      <c r="G635" s="57"/>
      <c r="H635" s="57"/>
      <c r="I635" s="541"/>
      <c r="J635" s="1094"/>
      <c r="K635" s="302"/>
      <c r="L635" s="412"/>
      <c r="M635" s="414"/>
      <c r="N635" s="58"/>
      <c r="O635" s="574"/>
      <c r="P635" s="58"/>
      <c r="Q635" s="58"/>
      <c r="R635" s="58"/>
    </row>
    <row r="636" spans="1:18" s="62" customFormat="1" ht="36" customHeight="1">
      <c r="A636" s="741" t="s">
        <v>1206</v>
      </c>
      <c r="B636" s="670"/>
      <c r="C636" s="579"/>
      <c r="D636" s="579"/>
      <c r="E636" s="579"/>
      <c r="F636" s="579"/>
      <c r="G636" s="579"/>
      <c r="H636" s="579"/>
      <c r="I636" s="742"/>
      <c r="J636" s="680"/>
      <c r="K636" s="679"/>
      <c r="L636" s="740"/>
      <c r="M636" s="298"/>
      <c r="N636" s="561"/>
      <c r="O636" s="561"/>
      <c r="P636" s="561"/>
      <c r="Q636" s="561"/>
      <c r="R636" s="561"/>
    </row>
    <row r="637" spans="1:18" s="62" customFormat="1" ht="84.75" customHeight="1">
      <c r="A637" s="53" t="s">
        <v>1207</v>
      </c>
      <c r="B637" s="1015" t="s">
        <v>367</v>
      </c>
      <c r="C637" s="367"/>
      <c r="D637" s="367"/>
      <c r="E637" s="367"/>
      <c r="F637" s="367"/>
      <c r="G637" s="367"/>
      <c r="H637" s="367"/>
      <c r="I637" s="362" t="s">
        <v>940</v>
      </c>
      <c r="J637" s="266" t="s">
        <v>54</v>
      </c>
      <c r="K637" s="267" t="s">
        <v>877</v>
      </c>
      <c r="L637" s="244" t="s">
        <v>30</v>
      </c>
      <c r="M637" s="298" t="s">
        <v>35</v>
      </c>
      <c r="N637" s="276">
        <v>8538.5040000000008</v>
      </c>
      <c r="O637" s="574">
        <v>8538.5040000000008</v>
      </c>
      <c r="P637" s="276">
        <v>0</v>
      </c>
      <c r="Q637" s="276">
        <v>0</v>
      </c>
      <c r="R637" s="276">
        <v>0</v>
      </c>
    </row>
    <row r="638" spans="1:18" s="62" customFormat="1" ht="60" customHeight="1">
      <c r="A638" s="799" t="s">
        <v>1208</v>
      </c>
      <c r="B638" s="1181" t="s">
        <v>556</v>
      </c>
      <c r="C638" s="1169"/>
      <c r="D638" s="1169"/>
      <c r="E638" s="1169"/>
      <c r="F638" s="1169" t="s">
        <v>753</v>
      </c>
      <c r="G638" s="1169" t="s">
        <v>754</v>
      </c>
      <c r="H638" s="1169" t="s">
        <v>615</v>
      </c>
      <c r="I638" s="251" t="s">
        <v>906</v>
      </c>
      <c r="J638" s="251" t="s">
        <v>784</v>
      </c>
      <c r="K638" s="253" t="s">
        <v>907</v>
      </c>
      <c r="L638" s="1161" t="s">
        <v>30</v>
      </c>
      <c r="M638" s="1161" t="s">
        <v>35</v>
      </c>
      <c r="N638" s="1325">
        <v>983.5</v>
      </c>
      <c r="O638" s="862">
        <v>983.5</v>
      </c>
      <c r="P638" s="1325">
        <v>0</v>
      </c>
      <c r="Q638" s="1325">
        <v>0</v>
      </c>
      <c r="R638" s="1325">
        <v>0</v>
      </c>
    </row>
    <row r="639" spans="1:18" s="62" customFormat="1" ht="83.25" customHeight="1">
      <c r="A639" s="796"/>
      <c r="B639" s="1182"/>
      <c r="C639" s="1168"/>
      <c r="D639" s="1168"/>
      <c r="E639" s="1168"/>
      <c r="F639" s="1168"/>
      <c r="G639" s="1168"/>
      <c r="H639" s="1168"/>
      <c r="I639" s="341" t="s">
        <v>917</v>
      </c>
      <c r="J639" s="341" t="s">
        <v>54</v>
      </c>
      <c r="K639" s="342" t="s">
        <v>918</v>
      </c>
      <c r="L639" s="1162"/>
      <c r="M639" s="1162"/>
      <c r="N639" s="1326"/>
      <c r="O639" s="863"/>
      <c r="P639" s="1326"/>
      <c r="Q639" s="1326"/>
      <c r="R639" s="1326"/>
    </row>
    <row r="640" spans="1:18" s="62" customFormat="1" ht="60.75" customHeight="1">
      <c r="A640" s="744" t="s">
        <v>1209</v>
      </c>
      <c r="B640" s="1178" t="s">
        <v>370</v>
      </c>
      <c r="C640" s="1149"/>
      <c r="D640" s="1149"/>
      <c r="E640" s="1149"/>
      <c r="F640" s="1170" t="s">
        <v>391</v>
      </c>
      <c r="G640" s="1170" t="s">
        <v>530</v>
      </c>
      <c r="H640" s="1170" t="s">
        <v>392</v>
      </c>
      <c r="I640" s="1092" t="s">
        <v>904</v>
      </c>
      <c r="J640" s="1092" t="s">
        <v>54</v>
      </c>
      <c r="K640" s="1097" t="s">
        <v>905</v>
      </c>
      <c r="L640" s="1178" t="s">
        <v>30</v>
      </c>
      <c r="M640" s="1178" t="s">
        <v>35</v>
      </c>
      <c r="N640" s="1327">
        <v>120</v>
      </c>
      <c r="O640" s="1093">
        <v>120</v>
      </c>
      <c r="P640" s="1327">
        <v>0</v>
      </c>
      <c r="Q640" s="1327">
        <v>0</v>
      </c>
      <c r="R640" s="1327">
        <v>0</v>
      </c>
    </row>
    <row r="641" spans="1:18" s="62" customFormat="1" ht="63" customHeight="1">
      <c r="A641" s="795"/>
      <c r="B641" s="1180"/>
      <c r="C641" s="1159"/>
      <c r="D641" s="1159"/>
      <c r="E641" s="1159"/>
      <c r="F641" s="1171"/>
      <c r="G641" s="1171"/>
      <c r="H641" s="1171"/>
      <c r="I641" s="344" t="s">
        <v>974</v>
      </c>
      <c r="J641" s="251" t="s">
        <v>54</v>
      </c>
      <c r="K641" s="253" t="s">
        <v>895</v>
      </c>
      <c r="L641" s="1180"/>
      <c r="M641" s="1180"/>
      <c r="N641" s="1328"/>
      <c r="O641" s="863"/>
      <c r="P641" s="1328"/>
      <c r="Q641" s="1328"/>
      <c r="R641" s="1328"/>
    </row>
    <row r="642" spans="1:18" s="62" customFormat="1" ht="75" customHeight="1">
      <c r="A642" s="795"/>
      <c r="B642" s="240" t="s">
        <v>383</v>
      </c>
      <c r="C642" s="1001"/>
      <c r="D642" s="1001"/>
      <c r="E642" s="1001"/>
      <c r="F642" s="1171"/>
      <c r="G642" s="1009"/>
      <c r="H642" s="1009"/>
      <c r="I642" s="347" t="s">
        <v>1399</v>
      </c>
      <c r="J642" s="341" t="s">
        <v>54</v>
      </c>
      <c r="K642" s="342" t="s">
        <v>929</v>
      </c>
      <c r="L642" s="240" t="s">
        <v>30</v>
      </c>
      <c r="M642" s="240" t="s">
        <v>35</v>
      </c>
      <c r="N642" s="348">
        <v>366.66</v>
      </c>
      <c r="O642" s="348">
        <v>366.66</v>
      </c>
      <c r="P642" s="348">
        <v>0</v>
      </c>
      <c r="Q642" s="348">
        <v>0</v>
      </c>
      <c r="R642" s="348">
        <v>0</v>
      </c>
    </row>
    <row r="643" spans="1:18" s="62" customFormat="1" ht="60.75" customHeight="1">
      <c r="A643" s="795"/>
      <c r="B643" s="240"/>
      <c r="C643" s="1001"/>
      <c r="D643" s="1001"/>
      <c r="E643" s="1001"/>
      <c r="F643" s="1009"/>
      <c r="G643" s="1009"/>
      <c r="H643" s="1009"/>
      <c r="I643" s="349" t="s">
        <v>932</v>
      </c>
      <c r="J643" s="350" t="s">
        <v>54</v>
      </c>
      <c r="K643" s="351" t="s">
        <v>929</v>
      </c>
      <c r="L643" s="240"/>
      <c r="M643" s="240"/>
      <c r="N643" s="348"/>
      <c r="O643" s="348"/>
      <c r="P643" s="348"/>
      <c r="Q643" s="348"/>
      <c r="R643" s="348"/>
    </row>
    <row r="644" spans="1:18" s="62" customFormat="1" ht="63" customHeight="1">
      <c r="A644" s="579"/>
      <c r="B644" s="240"/>
      <c r="C644" s="1001"/>
      <c r="D644" s="1001"/>
      <c r="E644" s="1001"/>
      <c r="F644" s="1009"/>
      <c r="G644" s="1009"/>
      <c r="H644" s="1009"/>
      <c r="I644" s="347" t="s">
        <v>975</v>
      </c>
      <c r="J644" s="341" t="s">
        <v>54</v>
      </c>
      <c r="K644" s="342" t="s">
        <v>926</v>
      </c>
      <c r="L644" s="240"/>
      <c r="M644" s="240"/>
      <c r="N644" s="348"/>
      <c r="O644" s="348"/>
      <c r="P644" s="348"/>
      <c r="Q644" s="348"/>
      <c r="R644" s="348"/>
    </row>
    <row r="645" spans="1:18" s="63" customFormat="1" ht="204.75" customHeight="1">
      <c r="A645" s="745" t="s">
        <v>477</v>
      </c>
      <c r="B645" s="1089" t="s">
        <v>543</v>
      </c>
      <c r="C645" s="38"/>
      <c r="D645" s="38"/>
      <c r="E645" s="38"/>
      <c r="F645" s="38"/>
      <c r="G645" s="38"/>
      <c r="H645" s="416"/>
      <c r="I645" s="537"/>
      <c r="J645" s="537"/>
      <c r="K645" s="537"/>
      <c r="L645" s="55" t="s">
        <v>32</v>
      </c>
      <c r="M645" s="55" t="s">
        <v>21</v>
      </c>
      <c r="N645" s="51">
        <f t="shared" ref="N645:R645" si="79">SUM(N648:N649)</f>
        <v>6400</v>
      </c>
      <c r="O645" s="51">
        <f t="shared" si="79"/>
        <v>4200</v>
      </c>
      <c r="P645" s="51">
        <f t="shared" si="79"/>
        <v>0</v>
      </c>
      <c r="Q645" s="51">
        <f t="shared" si="79"/>
        <v>0</v>
      </c>
      <c r="R645" s="51">
        <f t="shared" si="79"/>
        <v>0</v>
      </c>
    </row>
    <row r="646" spans="1:18" s="63" customFormat="1" ht="24">
      <c r="A646" s="672" t="s">
        <v>1210</v>
      </c>
      <c r="B646" s="1089"/>
      <c r="C646" s="38"/>
      <c r="D646" s="38"/>
      <c r="E646" s="38"/>
      <c r="F646" s="38"/>
      <c r="G646" s="38"/>
      <c r="H646" s="38"/>
      <c r="I646" s="805"/>
      <c r="J646" s="805"/>
      <c r="K646" s="805"/>
      <c r="L646" s="1089"/>
      <c r="M646" s="1089"/>
      <c r="N646" s="52"/>
      <c r="O646" s="52"/>
      <c r="P646" s="52"/>
      <c r="Q646" s="52"/>
      <c r="R646" s="52"/>
    </row>
    <row r="647" spans="1:18" s="63" customFormat="1" ht="50.25" customHeight="1">
      <c r="A647" s="672" t="s">
        <v>1211</v>
      </c>
      <c r="B647" s="1089"/>
      <c r="C647" s="38"/>
      <c r="D647" s="38"/>
      <c r="E647" s="38"/>
      <c r="F647" s="38"/>
      <c r="G647" s="38"/>
      <c r="H647" s="38"/>
      <c r="I647" s="805" t="s">
        <v>1393</v>
      </c>
      <c r="J647" s="805" t="s">
        <v>54</v>
      </c>
      <c r="K647" s="805" t="s">
        <v>1391</v>
      </c>
      <c r="L647" s="1089"/>
      <c r="M647" s="1089"/>
      <c r="N647" s="52"/>
      <c r="O647" s="52"/>
      <c r="P647" s="52"/>
      <c r="Q647" s="52"/>
      <c r="R647" s="52"/>
    </row>
    <row r="648" spans="1:18" s="63" customFormat="1" ht="46.5" customHeight="1">
      <c r="A648" s="1156" t="s">
        <v>1212</v>
      </c>
      <c r="B648" s="1013" t="s">
        <v>1380</v>
      </c>
      <c r="C648" s="795"/>
      <c r="D648" s="795"/>
      <c r="E648" s="795"/>
      <c r="F648" s="795"/>
      <c r="G648" s="795"/>
      <c r="H648" s="795"/>
      <c r="I648" s="1241" t="s">
        <v>1535</v>
      </c>
      <c r="J648" s="1241" t="s">
        <v>54</v>
      </c>
      <c r="K648" s="725" t="s">
        <v>877</v>
      </c>
      <c r="L648" s="1013" t="s">
        <v>32</v>
      </c>
      <c r="M648" s="1013" t="s">
        <v>21</v>
      </c>
      <c r="N648" s="743">
        <v>320</v>
      </c>
      <c r="O648" s="743">
        <v>210</v>
      </c>
      <c r="P648" s="743">
        <v>0</v>
      </c>
      <c r="Q648" s="743">
        <v>0</v>
      </c>
      <c r="R648" s="743">
        <v>0</v>
      </c>
    </row>
    <row r="649" spans="1:18" s="63" customFormat="1" ht="27" customHeight="1">
      <c r="A649" s="1157"/>
      <c r="B649" s="233" t="s">
        <v>1493</v>
      </c>
      <c r="C649" s="615"/>
      <c r="D649" s="615"/>
      <c r="E649" s="615"/>
      <c r="F649" s="615"/>
      <c r="G649" s="615"/>
      <c r="H649" s="615"/>
      <c r="I649" s="1333"/>
      <c r="J649" s="1333"/>
      <c r="K649" s="429"/>
      <c r="L649" s="297" t="s">
        <v>32</v>
      </c>
      <c r="M649" s="297" t="s">
        <v>21</v>
      </c>
      <c r="N649" s="415">
        <v>6080</v>
      </c>
      <c r="O649" s="348">
        <v>3990</v>
      </c>
      <c r="P649" s="415">
        <v>0</v>
      </c>
      <c r="Q649" s="415">
        <v>0</v>
      </c>
      <c r="R649" s="415">
        <v>0</v>
      </c>
    </row>
    <row r="650" spans="1:18" s="63" customFormat="1" ht="24">
      <c r="A650" s="686" t="s">
        <v>1213</v>
      </c>
      <c r="B650" s="55" t="s">
        <v>557</v>
      </c>
      <c r="C650" s="50"/>
      <c r="D650" s="50"/>
      <c r="E650" s="50"/>
      <c r="F650" s="50"/>
      <c r="G650" s="50"/>
      <c r="H650" s="50"/>
      <c r="I650" s="144"/>
      <c r="J650" s="547"/>
      <c r="K650" s="301"/>
      <c r="L650" s="55"/>
      <c r="M650" s="55"/>
      <c r="N650" s="145">
        <f t="shared" ref="N650:R650" si="80">SUM(N653:N653)</f>
        <v>999.85</v>
      </c>
      <c r="O650" s="145">
        <f t="shared" si="80"/>
        <v>999.85</v>
      </c>
      <c r="P650" s="145">
        <f t="shared" si="80"/>
        <v>0</v>
      </c>
      <c r="Q650" s="145">
        <f t="shared" si="80"/>
        <v>0</v>
      </c>
      <c r="R650" s="145">
        <f t="shared" si="80"/>
        <v>0</v>
      </c>
    </row>
    <row r="651" spans="1:18" s="63" customFormat="1" ht="12" customHeight="1">
      <c r="A651" s="672" t="s">
        <v>1214</v>
      </c>
      <c r="B651" s="1089"/>
      <c r="C651" s="38"/>
      <c r="D651" s="38"/>
      <c r="E651" s="38"/>
      <c r="F651" s="38"/>
      <c r="G651" s="38"/>
      <c r="H651" s="38"/>
      <c r="I651" s="2"/>
      <c r="J651" s="1092"/>
      <c r="K651" s="1097"/>
      <c r="L651" s="1089"/>
      <c r="M651" s="1089"/>
      <c r="N651" s="747"/>
      <c r="O651" s="747"/>
      <c r="P651" s="747"/>
      <c r="Q651" s="747"/>
      <c r="R651" s="747"/>
    </row>
    <row r="652" spans="1:18" s="63" customFormat="1" ht="35.25" customHeight="1">
      <c r="A652" s="672" t="s">
        <v>1215</v>
      </c>
      <c r="B652" s="1089"/>
      <c r="C652" s="38"/>
      <c r="D652" s="38"/>
      <c r="E652" s="38"/>
      <c r="F652" s="38"/>
      <c r="G652" s="38"/>
      <c r="H652" s="38"/>
      <c r="I652" s="2"/>
      <c r="J652" s="1092"/>
      <c r="K652" s="1097"/>
      <c r="L652" s="1089"/>
      <c r="M652" s="1089"/>
      <c r="N652" s="747"/>
      <c r="O652" s="747"/>
      <c r="P652" s="747"/>
      <c r="Q652" s="747"/>
      <c r="R652" s="747"/>
    </row>
    <row r="653" spans="1:18" s="62" customFormat="1" ht="61.5" customHeight="1">
      <c r="A653" s="719" t="s">
        <v>1216</v>
      </c>
      <c r="B653" s="1161" t="s">
        <v>681</v>
      </c>
      <c r="C653" s="1163"/>
      <c r="D653" s="1163"/>
      <c r="E653" s="1163"/>
      <c r="F653" s="1163" t="s">
        <v>753</v>
      </c>
      <c r="G653" s="1163" t="s">
        <v>754</v>
      </c>
      <c r="H653" s="1163" t="s">
        <v>615</v>
      </c>
      <c r="I653" s="251" t="s">
        <v>906</v>
      </c>
      <c r="J653" s="251" t="s">
        <v>908</v>
      </c>
      <c r="K653" s="253" t="s">
        <v>907</v>
      </c>
      <c r="L653" s="1161" t="s">
        <v>30</v>
      </c>
      <c r="M653" s="1161" t="s">
        <v>35</v>
      </c>
      <c r="N653" s="1325">
        <v>999.85</v>
      </c>
      <c r="O653" s="862">
        <v>999.85</v>
      </c>
      <c r="P653" s="1325">
        <v>0</v>
      </c>
      <c r="Q653" s="1325">
        <v>0</v>
      </c>
      <c r="R653" s="1325">
        <v>0</v>
      </c>
    </row>
    <row r="654" spans="1:18" s="62" customFormat="1" ht="96" customHeight="1">
      <c r="A654" s="795"/>
      <c r="B654" s="1162"/>
      <c r="C654" s="1164"/>
      <c r="D654" s="1164"/>
      <c r="E654" s="1164"/>
      <c r="F654" s="1164"/>
      <c r="G654" s="1164"/>
      <c r="H654" s="1164"/>
      <c r="I654" s="341" t="s">
        <v>919</v>
      </c>
      <c r="J654" s="341" t="s">
        <v>54</v>
      </c>
      <c r="K654" s="342" t="s">
        <v>918</v>
      </c>
      <c r="L654" s="1162"/>
      <c r="M654" s="1162"/>
      <c r="N654" s="1326"/>
      <c r="O654" s="863"/>
      <c r="P654" s="1326"/>
      <c r="Q654" s="1326"/>
      <c r="R654" s="1326"/>
    </row>
    <row r="655" spans="1:18" s="63" customFormat="1" ht="85.5" customHeight="1">
      <c r="A655" s="1151" t="s">
        <v>976</v>
      </c>
      <c r="B655" s="1153" t="s">
        <v>1262</v>
      </c>
      <c r="C655" s="1153"/>
      <c r="D655" s="1153"/>
      <c r="E655" s="1153"/>
      <c r="F655" s="1148" t="s">
        <v>755</v>
      </c>
      <c r="G655" s="1148" t="s">
        <v>756</v>
      </c>
      <c r="H655" s="1148" t="s">
        <v>615</v>
      </c>
      <c r="I655" s="806" t="s">
        <v>1463</v>
      </c>
      <c r="J655" s="806" t="s">
        <v>54</v>
      </c>
      <c r="K655" s="807" t="s">
        <v>95</v>
      </c>
      <c r="L655" s="808" t="s">
        <v>32</v>
      </c>
      <c r="M655" s="808" t="s">
        <v>30</v>
      </c>
      <c r="N655" s="809">
        <v>60</v>
      </c>
      <c r="O655" s="809">
        <v>60</v>
      </c>
      <c r="P655" s="809">
        <v>0</v>
      </c>
      <c r="Q655" s="809">
        <v>0</v>
      </c>
      <c r="R655" s="809">
        <v>0</v>
      </c>
    </row>
    <row r="656" spans="1:18" s="63" customFormat="1" ht="60.75" customHeight="1">
      <c r="A656" s="1152"/>
      <c r="B656" s="1154"/>
      <c r="C656" s="1154"/>
      <c r="D656" s="1154"/>
      <c r="E656" s="1154"/>
      <c r="F656" s="1168"/>
      <c r="G656" s="1168"/>
      <c r="H656" s="1168"/>
      <c r="I656" s="1092" t="s">
        <v>1263</v>
      </c>
      <c r="J656" s="1092" t="s">
        <v>54</v>
      </c>
      <c r="K656" s="1097" t="s">
        <v>1264</v>
      </c>
      <c r="L656" s="810"/>
      <c r="M656" s="810"/>
      <c r="N656" s="811"/>
      <c r="O656" s="811"/>
      <c r="P656" s="811"/>
      <c r="Q656" s="811"/>
      <c r="R656" s="811"/>
    </row>
    <row r="657" spans="1:18" s="63" customFormat="1" ht="59.25" hidden="1" customHeight="1">
      <c r="A657" s="866" t="s">
        <v>977</v>
      </c>
      <c r="B657" s="286" t="s">
        <v>814</v>
      </c>
      <c r="C657" s="285"/>
      <c r="D657" s="285"/>
      <c r="E657" s="285"/>
      <c r="F657" s="285"/>
      <c r="G657" s="285"/>
      <c r="H657" s="285"/>
      <c r="I657" s="377" t="s">
        <v>816</v>
      </c>
      <c r="J657" s="377" t="s">
        <v>54</v>
      </c>
      <c r="K657" s="283" t="s">
        <v>817</v>
      </c>
      <c r="L657" s="287" t="s">
        <v>36</v>
      </c>
      <c r="M657" s="287" t="s">
        <v>36</v>
      </c>
      <c r="N657" s="288">
        <v>0</v>
      </c>
      <c r="O657" s="288">
        <v>0</v>
      </c>
      <c r="P657" s="288">
        <v>0</v>
      </c>
      <c r="Q657" s="288">
        <v>0</v>
      </c>
      <c r="R657" s="288">
        <v>0</v>
      </c>
    </row>
    <row r="658" spans="1:18" s="63" customFormat="1" ht="48" hidden="1">
      <c r="A658" s="867"/>
      <c r="B658" s="368"/>
      <c r="C658" s="263"/>
      <c r="D658" s="263"/>
      <c r="E658" s="263"/>
      <c r="F658" s="263"/>
      <c r="G658" s="263"/>
      <c r="H658" s="263"/>
      <c r="I658" s="266" t="s">
        <v>818</v>
      </c>
      <c r="J658" s="266" t="s">
        <v>54</v>
      </c>
      <c r="K658" s="267" t="s">
        <v>819</v>
      </c>
      <c r="L658" s="268"/>
      <c r="M658" s="268"/>
      <c r="N658" s="269"/>
      <c r="O658" s="269"/>
      <c r="P658" s="269"/>
      <c r="Q658" s="269"/>
      <c r="R658" s="269"/>
    </row>
    <row r="659" spans="1:18" s="63" customFormat="1" ht="85.5" hidden="1" customHeight="1">
      <c r="A659" s="263"/>
      <c r="B659" s="259" t="s">
        <v>789</v>
      </c>
      <c r="C659" s="260"/>
      <c r="D659" s="260"/>
      <c r="E659" s="260"/>
      <c r="F659" s="1031" t="s">
        <v>616</v>
      </c>
      <c r="G659" s="1031" t="s">
        <v>617</v>
      </c>
      <c r="H659" s="1031" t="s">
        <v>618</v>
      </c>
      <c r="I659" s="251" t="s">
        <v>796</v>
      </c>
      <c r="J659" s="251" t="s">
        <v>54</v>
      </c>
      <c r="K659" s="253" t="s">
        <v>793</v>
      </c>
      <c r="L659" s="264" t="s">
        <v>32</v>
      </c>
      <c r="M659" s="264" t="s">
        <v>30</v>
      </c>
      <c r="N659" s="265">
        <v>0</v>
      </c>
      <c r="O659" s="265">
        <v>0</v>
      </c>
      <c r="P659" s="265">
        <v>0</v>
      </c>
      <c r="Q659" s="265">
        <v>0</v>
      </c>
      <c r="R659" s="265">
        <v>0</v>
      </c>
    </row>
    <row r="660" spans="1:18" s="63" customFormat="1" ht="48" hidden="1">
      <c r="A660" s="260" t="s">
        <v>566</v>
      </c>
      <c r="B660" s="368"/>
      <c r="C660" s="263"/>
      <c r="D660" s="263"/>
      <c r="E660" s="263"/>
      <c r="F660" s="395"/>
      <c r="G660" s="395"/>
      <c r="H660" s="395"/>
      <c r="I660" s="266" t="s">
        <v>791</v>
      </c>
      <c r="J660" s="266" t="s">
        <v>54</v>
      </c>
      <c r="K660" s="267" t="s">
        <v>792</v>
      </c>
      <c r="L660" s="268"/>
      <c r="M660" s="268"/>
      <c r="N660" s="269"/>
      <c r="O660" s="269"/>
      <c r="P660" s="269"/>
      <c r="Q660" s="269"/>
      <c r="R660" s="269"/>
    </row>
    <row r="661" spans="1:18" s="62" customFormat="1" ht="72.75" hidden="1" customHeight="1">
      <c r="A661" s="31" t="s">
        <v>478</v>
      </c>
      <c r="B661" s="374" t="s">
        <v>479</v>
      </c>
      <c r="C661" s="22"/>
      <c r="D661" s="22"/>
      <c r="E661" s="22"/>
      <c r="F661" s="22"/>
      <c r="G661" s="22"/>
      <c r="H661" s="22"/>
      <c r="I661" s="1029" t="s">
        <v>794</v>
      </c>
      <c r="J661" s="44" t="s">
        <v>54</v>
      </c>
      <c r="K661" s="44" t="s">
        <v>795</v>
      </c>
      <c r="L661" s="300" t="s">
        <v>28</v>
      </c>
      <c r="M661" s="300" t="s">
        <v>36</v>
      </c>
      <c r="N661" s="177">
        <v>0</v>
      </c>
      <c r="O661" s="177">
        <v>0</v>
      </c>
      <c r="P661" s="79">
        <v>0</v>
      </c>
      <c r="Q661" s="79">
        <v>0</v>
      </c>
      <c r="R661" s="79">
        <v>0</v>
      </c>
    </row>
    <row r="662" spans="1:18" s="62" customFormat="1" ht="12">
      <c r="A662" s="745" t="s">
        <v>480</v>
      </c>
      <c r="B662" s="1089" t="s">
        <v>574</v>
      </c>
      <c r="C662" s="232"/>
      <c r="D662" s="232"/>
      <c r="E662" s="232"/>
      <c r="F662" s="232"/>
      <c r="G662" s="232"/>
      <c r="H662" s="232"/>
      <c r="I662" s="538"/>
      <c r="J662" s="539"/>
      <c r="K662" s="540"/>
      <c r="L662" s="1089" t="s">
        <v>32</v>
      </c>
      <c r="M662" s="1089" t="s">
        <v>21</v>
      </c>
      <c r="N662" s="52">
        <f t="shared" ref="N662:P662" si="81">SUM(N664:N665)</f>
        <v>490</v>
      </c>
      <c r="O662" s="52">
        <f t="shared" ref="O662" si="82">SUM(O664:O665)</f>
        <v>490</v>
      </c>
      <c r="P662" s="52">
        <f t="shared" si="81"/>
        <v>0</v>
      </c>
      <c r="Q662" s="52">
        <f t="shared" ref="Q662:R662" si="83">SUM(Q664:Q665)</f>
        <v>0</v>
      </c>
      <c r="R662" s="52">
        <f t="shared" si="83"/>
        <v>0</v>
      </c>
    </row>
    <row r="663" spans="1:18" s="62" customFormat="1" ht="60" customHeight="1">
      <c r="A663" s="671" t="s">
        <v>1374</v>
      </c>
      <c r="B663" s="828"/>
      <c r="C663" s="1148" t="s">
        <v>399</v>
      </c>
      <c r="D663" s="1148" t="s">
        <v>401</v>
      </c>
      <c r="E663" s="1148" t="s">
        <v>44</v>
      </c>
      <c r="F663" s="1148" t="s">
        <v>755</v>
      </c>
      <c r="G663" s="1148" t="s">
        <v>756</v>
      </c>
      <c r="H663" s="1148" t="s">
        <v>615</v>
      </c>
      <c r="I663" s="538" t="s">
        <v>876</v>
      </c>
      <c r="J663" s="539" t="s">
        <v>54</v>
      </c>
      <c r="K663" s="540" t="s">
        <v>731</v>
      </c>
      <c r="L663" s="829"/>
      <c r="M663" s="829"/>
      <c r="N663" s="830"/>
      <c r="O663" s="830"/>
      <c r="P663" s="830"/>
      <c r="Q663" s="830"/>
      <c r="R663" s="830"/>
    </row>
    <row r="664" spans="1:18" s="62" customFormat="1" ht="72" customHeight="1">
      <c r="A664" s="719" t="s">
        <v>1379</v>
      </c>
      <c r="B664" s="740" t="s">
        <v>1380</v>
      </c>
      <c r="C664" s="1149"/>
      <c r="D664" s="1149"/>
      <c r="E664" s="1149"/>
      <c r="F664" s="1149"/>
      <c r="G664" s="1149"/>
      <c r="H664" s="1149"/>
      <c r="I664" s="831" t="s">
        <v>1375</v>
      </c>
      <c r="J664" s="832" t="s">
        <v>54</v>
      </c>
      <c r="K664" s="832" t="s">
        <v>1376</v>
      </c>
      <c r="L664" s="298"/>
      <c r="M664" s="298"/>
      <c r="N664" s="56">
        <v>44.8</v>
      </c>
      <c r="O664" s="56">
        <v>44.8</v>
      </c>
      <c r="P664" s="56">
        <v>0</v>
      </c>
      <c r="Q664" s="56">
        <v>0</v>
      </c>
      <c r="R664" s="56">
        <v>0</v>
      </c>
    </row>
    <row r="665" spans="1:18" s="62" customFormat="1" ht="72" customHeight="1">
      <c r="A665" s="746"/>
      <c r="B665" s="740" t="s">
        <v>798</v>
      </c>
      <c r="C665" s="57"/>
      <c r="D665" s="57"/>
      <c r="E665" s="57"/>
      <c r="F665" s="1150"/>
      <c r="G665" s="1150"/>
      <c r="H665" s="1150"/>
      <c r="I665" s="831" t="s">
        <v>1377</v>
      </c>
      <c r="J665" s="832" t="s">
        <v>54</v>
      </c>
      <c r="K665" s="832" t="s">
        <v>1378</v>
      </c>
      <c r="L665" s="298"/>
      <c r="M665" s="298"/>
      <c r="N665" s="56">
        <v>445.2</v>
      </c>
      <c r="O665" s="56">
        <v>445.2</v>
      </c>
      <c r="P665" s="56">
        <v>0</v>
      </c>
      <c r="Q665" s="56">
        <v>0</v>
      </c>
      <c r="R665" s="56">
        <v>0</v>
      </c>
    </row>
    <row r="666" spans="1:18" s="62" customFormat="1" ht="24">
      <c r="A666" s="1103" t="s">
        <v>481</v>
      </c>
      <c r="B666" s="1089" t="s">
        <v>482</v>
      </c>
      <c r="C666" s="804"/>
      <c r="D666" s="804"/>
      <c r="E666" s="804"/>
      <c r="F666" s="804"/>
      <c r="G666" s="804"/>
      <c r="H666" s="804"/>
      <c r="I666" s="804"/>
      <c r="J666" s="748"/>
      <c r="K666" s="749"/>
      <c r="L666" s="1011" t="s">
        <v>23</v>
      </c>
      <c r="M666" s="1011" t="s">
        <v>35</v>
      </c>
      <c r="N666" s="52">
        <f>SUM(N667:N670)</f>
        <v>73376.2</v>
      </c>
      <c r="O666" s="52">
        <f>SUM(O667:O670)</f>
        <v>73376.2</v>
      </c>
      <c r="P666" s="52">
        <f>SUM(P667:P670)</f>
        <v>74646.5</v>
      </c>
      <c r="Q666" s="52">
        <f>SUM(Q667:Q670)</f>
        <v>74379.5</v>
      </c>
      <c r="R666" s="52">
        <f>SUM(R667:R670)</f>
        <v>71578.3</v>
      </c>
    </row>
    <row r="667" spans="1:18" s="62" customFormat="1" ht="24">
      <c r="A667" s="671" t="s">
        <v>1217</v>
      </c>
      <c r="B667" s="1089"/>
      <c r="C667" s="804"/>
      <c r="D667" s="804"/>
      <c r="E667" s="804"/>
      <c r="F667" s="804"/>
      <c r="G667" s="804"/>
      <c r="H667" s="804"/>
      <c r="I667" s="804"/>
      <c r="J667" s="748"/>
      <c r="K667" s="749"/>
      <c r="L667" s="1011"/>
      <c r="M667" s="1011"/>
      <c r="N667" s="52"/>
      <c r="O667" s="52"/>
      <c r="P667" s="52"/>
      <c r="Q667" s="52"/>
      <c r="R667" s="52"/>
    </row>
    <row r="668" spans="1:18" s="62" customFormat="1" ht="12">
      <c r="A668" s="671" t="s">
        <v>1218</v>
      </c>
      <c r="B668" s="1089"/>
      <c r="C668" s="1006"/>
      <c r="D668" s="1006"/>
      <c r="E668" s="1006"/>
      <c r="F668" s="1006"/>
      <c r="G668" s="1006"/>
      <c r="H668" s="1006"/>
      <c r="I668" s="1165" t="s">
        <v>1392</v>
      </c>
      <c r="J668" s="1387" t="s">
        <v>54</v>
      </c>
      <c r="K668" s="1165" t="s">
        <v>1391</v>
      </c>
      <c r="L668" s="944"/>
      <c r="M668" s="944"/>
      <c r="N668" s="945"/>
      <c r="O668" s="945"/>
      <c r="P668" s="945"/>
      <c r="Q668" s="945"/>
      <c r="R668" s="945"/>
    </row>
    <row r="669" spans="1:18" s="62" customFormat="1" ht="24" customHeight="1">
      <c r="A669" s="1141" t="s">
        <v>1219</v>
      </c>
      <c r="B669" s="1143" t="s">
        <v>1453</v>
      </c>
      <c r="C669" s="1007"/>
      <c r="D669" s="1007"/>
      <c r="E669" s="1007"/>
      <c r="F669" s="1007"/>
      <c r="G669" s="1007"/>
      <c r="H669" s="1007"/>
      <c r="I669" s="1166"/>
      <c r="J669" s="1388"/>
      <c r="K669" s="1166"/>
      <c r="L669" s="946"/>
      <c r="M669" s="946"/>
      <c r="N669" s="947">
        <v>73376.2</v>
      </c>
      <c r="O669" s="947">
        <v>73376.2</v>
      </c>
      <c r="P669" s="947">
        <v>74646.5</v>
      </c>
      <c r="Q669" s="947">
        <v>74379.5</v>
      </c>
      <c r="R669" s="947">
        <v>71578.3</v>
      </c>
    </row>
    <row r="670" spans="1:18" s="62" customFormat="1" ht="87.75" customHeight="1">
      <c r="A670" s="1142"/>
      <c r="B670" s="1144"/>
      <c r="C670" s="874"/>
      <c r="D670" s="874"/>
      <c r="E670" s="874"/>
      <c r="F670" s="874"/>
      <c r="G670" s="874"/>
      <c r="H670" s="874"/>
      <c r="I670" s="948" t="s">
        <v>815</v>
      </c>
      <c r="J670" s="997" t="s">
        <v>54</v>
      </c>
      <c r="K670" s="997" t="s">
        <v>268</v>
      </c>
      <c r="L670" s="949"/>
      <c r="M670" s="949"/>
      <c r="N670" s="950"/>
      <c r="O670" s="950"/>
      <c r="P670" s="950"/>
      <c r="Q670" s="950"/>
      <c r="R670" s="950"/>
    </row>
    <row r="671" spans="1:18" s="63" customFormat="1" ht="59.25" hidden="1" customHeight="1">
      <c r="A671" s="750" t="s">
        <v>3</v>
      </c>
      <c r="B671" s="401" t="s">
        <v>276</v>
      </c>
      <c r="C671" s="939" t="s">
        <v>27</v>
      </c>
      <c r="D671" s="939" t="s">
        <v>27</v>
      </c>
      <c r="E671" s="939" t="s">
        <v>27</v>
      </c>
      <c r="F671" s="939" t="s">
        <v>27</v>
      </c>
      <c r="G671" s="939" t="s">
        <v>27</v>
      </c>
      <c r="H671" s="939" t="s">
        <v>27</v>
      </c>
      <c r="I671" s="940" t="s">
        <v>277</v>
      </c>
      <c r="J671" s="940" t="s">
        <v>54</v>
      </c>
      <c r="K671" s="941" t="s">
        <v>275</v>
      </c>
      <c r="L671" s="942" t="s">
        <v>30</v>
      </c>
      <c r="M671" s="942" t="s">
        <v>31</v>
      </c>
      <c r="N671" s="939"/>
      <c r="O671" s="939"/>
      <c r="P671" s="939"/>
      <c r="Q671" s="939"/>
      <c r="R671" s="943"/>
    </row>
    <row r="672" spans="1:18" s="62" customFormat="1" ht="59.25" hidden="1" customHeight="1">
      <c r="A672" s="38" t="s">
        <v>640</v>
      </c>
      <c r="B672" s="1089" t="s">
        <v>641</v>
      </c>
      <c r="C672" s="1032"/>
      <c r="D672" s="1032"/>
      <c r="E672" s="1032"/>
      <c r="F672" s="1032" t="s">
        <v>642</v>
      </c>
      <c r="G672" s="1032" t="s">
        <v>54</v>
      </c>
      <c r="H672" s="1032" t="s">
        <v>643</v>
      </c>
      <c r="I672" s="170" t="s">
        <v>645</v>
      </c>
      <c r="J672" s="1092" t="s">
        <v>54</v>
      </c>
      <c r="K672" s="1092" t="s">
        <v>725</v>
      </c>
      <c r="L672" s="1089" t="s">
        <v>28</v>
      </c>
      <c r="M672" s="1089" t="s">
        <v>32</v>
      </c>
      <c r="N672" s="52">
        <v>0</v>
      </c>
      <c r="O672" s="52"/>
      <c r="P672" s="52">
        <v>0</v>
      </c>
      <c r="Q672" s="52">
        <v>0</v>
      </c>
      <c r="R672" s="52">
        <v>0</v>
      </c>
    </row>
    <row r="673" spans="1:18" s="62" customFormat="1" ht="12.75" customHeight="1">
      <c r="A673" s="38" t="s">
        <v>685</v>
      </c>
      <c r="B673" s="1089" t="s">
        <v>686</v>
      </c>
      <c r="C673" s="1032"/>
      <c r="D673" s="1032"/>
      <c r="E673" s="1032"/>
      <c r="F673" s="1032"/>
      <c r="G673" s="1032"/>
      <c r="H673" s="1032"/>
      <c r="I673" s="170"/>
      <c r="J673" s="1092"/>
      <c r="K673" s="1092"/>
      <c r="L673" s="1089" t="s">
        <v>28</v>
      </c>
      <c r="M673" s="1089" t="s">
        <v>22</v>
      </c>
      <c r="N673" s="52">
        <v>0</v>
      </c>
      <c r="O673" s="52">
        <v>0</v>
      </c>
      <c r="P673" s="52">
        <v>0</v>
      </c>
      <c r="Q673" s="52">
        <v>13624</v>
      </c>
      <c r="R673" s="52">
        <v>27985</v>
      </c>
    </row>
    <row r="674" spans="1:18" s="62" customFormat="1" ht="12" customHeight="1">
      <c r="A674" s="25" t="s">
        <v>40</v>
      </c>
      <c r="B674" s="1065" t="s">
        <v>41</v>
      </c>
      <c r="C674" s="1065" t="s">
        <v>25</v>
      </c>
      <c r="D674" s="1065" t="s">
        <v>25</v>
      </c>
      <c r="E674" s="1065" t="s">
        <v>25</v>
      </c>
      <c r="F674" s="1065" t="s">
        <v>25</v>
      </c>
      <c r="G674" s="1065" t="s">
        <v>25</v>
      </c>
      <c r="H674" s="1065" t="s">
        <v>25</v>
      </c>
      <c r="I674" s="1065" t="s">
        <v>25</v>
      </c>
      <c r="J674" s="1065" t="s">
        <v>25</v>
      </c>
      <c r="K674" s="1065" t="s">
        <v>25</v>
      </c>
      <c r="L674" s="1065"/>
      <c r="M674" s="1065"/>
      <c r="N674" s="164">
        <f>N6</f>
        <v>2450505.7119999998</v>
      </c>
      <c r="O674" s="164">
        <f>O6</f>
        <v>2301845.2250000001</v>
      </c>
      <c r="P674" s="164">
        <f>P6</f>
        <v>2395643.787</v>
      </c>
      <c r="Q674" s="164">
        <f>Q6</f>
        <v>1787080.6110000003</v>
      </c>
      <c r="R674" s="164">
        <f t="shared" ref="R674" si="84">R6</f>
        <v>1613701.02</v>
      </c>
    </row>
    <row r="675" spans="1:18">
      <c r="A675" s="61"/>
      <c r="B675" s="864"/>
      <c r="C675" s="61"/>
      <c r="D675" s="61"/>
      <c r="E675" s="61"/>
      <c r="F675" s="61"/>
      <c r="G675" s="61"/>
      <c r="H675" s="61"/>
      <c r="I675" s="61"/>
      <c r="J675" s="61"/>
      <c r="K675" s="61"/>
      <c r="L675" s="61"/>
      <c r="M675" s="61"/>
      <c r="N675" s="61"/>
      <c r="O675" s="61"/>
      <c r="P675" s="61"/>
    </row>
  </sheetData>
  <mergeCells count="618">
    <mergeCell ref="K132:K133"/>
    <mergeCell ref="J152:J153"/>
    <mergeCell ref="K152:K153"/>
    <mergeCell ref="I100:I101"/>
    <mergeCell ref="H95:H96"/>
    <mergeCell ref="I95:I96"/>
    <mergeCell ref="I135:I136"/>
    <mergeCell ref="F131:F133"/>
    <mergeCell ref="I112:I113"/>
    <mergeCell ref="K95:K96"/>
    <mergeCell ref="I98:I99"/>
    <mergeCell ref="J120:J121"/>
    <mergeCell ref="I21:I22"/>
    <mergeCell ref="I102:I103"/>
    <mergeCell ref="F56:F57"/>
    <mergeCell ref="F104:F105"/>
    <mergeCell ref="I104:I105"/>
    <mergeCell ref="J104:J105"/>
    <mergeCell ref="K104:K105"/>
    <mergeCell ref="F102:F103"/>
    <mergeCell ref="G102:G103"/>
    <mergeCell ref="H102:H103"/>
    <mergeCell ref="F85:F86"/>
    <mergeCell ref="G85:G86"/>
    <mergeCell ref="J668:J669"/>
    <mergeCell ref="K668:K669"/>
    <mergeCell ref="F70:F72"/>
    <mergeCell ref="G70:G72"/>
    <mergeCell ref="H70:H72"/>
    <mergeCell ref="C24:C25"/>
    <mergeCell ref="C276:C277"/>
    <mergeCell ref="C353:C354"/>
    <mergeCell ref="D353:D354"/>
    <mergeCell ref="E353:E354"/>
    <mergeCell ref="F353:F354"/>
    <mergeCell ref="G353:G354"/>
    <mergeCell ref="H353:H354"/>
    <mergeCell ref="C382:C384"/>
    <mergeCell ref="C387:C388"/>
    <mergeCell ref="C305:C307"/>
    <mergeCell ref="D305:D307"/>
    <mergeCell ref="E305:E307"/>
    <mergeCell ref="G305:G306"/>
    <mergeCell ref="E511:E513"/>
    <mergeCell ref="C111:C113"/>
    <mergeCell ref="G487:G488"/>
    <mergeCell ref="K135:K136"/>
    <mergeCell ref="K242:K243"/>
    <mergeCell ref="K318:K320"/>
    <mergeCell ref="K337:K338"/>
    <mergeCell ref="J337:J338"/>
    <mergeCell ref="I337:I338"/>
    <mergeCell ref="J301:J302"/>
    <mergeCell ref="D251:D252"/>
    <mergeCell ref="E251:E252"/>
    <mergeCell ref="D259:D261"/>
    <mergeCell ref="E259:E261"/>
    <mergeCell ref="D284:D286"/>
    <mergeCell ref="E284:E286"/>
    <mergeCell ref="D273:D274"/>
    <mergeCell ref="E273:E274"/>
    <mergeCell ref="H305:H306"/>
    <mergeCell ref="G337:G338"/>
    <mergeCell ref="E337:E338"/>
    <mergeCell ref="F337:F338"/>
    <mergeCell ref="F305:F306"/>
    <mergeCell ref="E407:E415"/>
    <mergeCell ref="F407:F415"/>
    <mergeCell ref="K205:K206"/>
    <mergeCell ref="I296:I298"/>
    <mergeCell ref="J296:J298"/>
    <mergeCell ref="K296:K298"/>
    <mergeCell ref="K172:K173"/>
    <mergeCell ref="F169:F170"/>
    <mergeCell ref="G169:G170"/>
    <mergeCell ref="G288:G291"/>
    <mergeCell ref="G251:G255"/>
    <mergeCell ref="I234:I235"/>
    <mergeCell ref="G226:G227"/>
    <mergeCell ref="F273:F274"/>
    <mergeCell ref="G273:G274"/>
    <mergeCell ref="H273:H274"/>
    <mergeCell ref="J281:J282"/>
    <mergeCell ref="G192:G196"/>
    <mergeCell ref="K301:K302"/>
    <mergeCell ref="I315:I317"/>
    <mergeCell ref="J315:J317"/>
    <mergeCell ref="I369:I370"/>
    <mergeCell ref="K234:K235"/>
    <mergeCell ref="J264:J265"/>
    <mergeCell ref="E379:E381"/>
    <mergeCell ref="D382:D387"/>
    <mergeCell ref="E382:E387"/>
    <mergeCell ref="F387:F388"/>
    <mergeCell ref="G387:G388"/>
    <mergeCell ref="H387:H388"/>
    <mergeCell ref="F379:F382"/>
    <mergeCell ref="E394:E400"/>
    <mergeCell ref="G394:G400"/>
    <mergeCell ref="F394:F400"/>
    <mergeCell ref="H419:H420"/>
    <mergeCell ref="G407:G415"/>
    <mergeCell ref="H407:H415"/>
    <mergeCell ref="H394:H400"/>
    <mergeCell ref="G436:G440"/>
    <mergeCell ref="H436:H440"/>
    <mergeCell ref="F445:F447"/>
    <mergeCell ref="K363:K367"/>
    <mergeCell ref="I383:I385"/>
    <mergeCell ref="F419:F420"/>
    <mergeCell ref="D511:D513"/>
    <mergeCell ref="D516:D519"/>
    <mergeCell ref="D487:D488"/>
    <mergeCell ref="H487:H488"/>
    <mergeCell ref="F511:F513"/>
    <mergeCell ref="E516:E519"/>
    <mergeCell ref="F516:F519"/>
    <mergeCell ref="D436:D440"/>
    <mergeCell ref="E487:E488"/>
    <mergeCell ref="F487:F488"/>
    <mergeCell ref="J95:J96"/>
    <mergeCell ref="A98:A99"/>
    <mergeCell ref="F98:F99"/>
    <mergeCell ref="G98:G99"/>
    <mergeCell ref="J98:J99"/>
    <mergeCell ref="H98:H99"/>
    <mergeCell ref="J135:J136"/>
    <mergeCell ref="C166:C167"/>
    <mergeCell ref="A113:A116"/>
    <mergeCell ref="A118:A119"/>
    <mergeCell ref="F118:F119"/>
    <mergeCell ref="H114:H116"/>
    <mergeCell ref="D111:D112"/>
    <mergeCell ref="E111:E112"/>
    <mergeCell ref="F111:F112"/>
    <mergeCell ref="G111:G112"/>
    <mergeCell ref="H100:H101"/>
    <mergeCell ref="H111:H112"/>
    <mergeCell ref="C30:C32"/>
    <mergeCell ref="D30:D32"/>
    <mergeCell ref="E30:E32"/>
    <mergeCell ref="F30:F32"/>
    <mergeCell ref="E11:E12"/>
    <mergeCell ref="I120:I121"/>
    <mergeCell ref="F114:F116"/>
    <mergeCell ref="C170:C171"/>
    <mergeCell ref="A152:A153"/>
    <mergeCell ref="G152:G153"/>
    <mergeCell ref="H152:H153"/>
    <mergeCell ref="F152:F153"/>
    <mergeCell ref="I152:I153"/>
    <mergeCell ref="H19:H21"/>
    <mergeCell ref="E19:E21"/>
    <mergeCell ref="A11:A12"/>
    <mergeCell ref="B11:B12"/>
    <mergeCell ref="C11:C12"/>
    <mergeCell ref="G11:G12"/>
    <mergeCell ref="F19:F21"/>
    <mergeCell ref="C19:C21"/>
    <mergeCell ref="D19:D21"/>
    <mergeCell ref="I92:I93"/>
    <mergeCell ref="A73:A75"/>
    <mergeCell ref="I39:I40"/>
    <mergeCell ref="I353:I354"/>
    <mergeCell ref="J353:J354"/>
    <mergeCell ref="I281:I282"/>
    <mergeCell ref="F247:F249"/>
    <mergeCell ref="G247:G249"/>
    <mergeCell ref="F14:F16"/>
    <mergeCell ref="P3:P4"/>
    <mergeCell ref="D11:D12"/>
    <mergeCell ref="F11:F12"/>
    <mergeCell ref="J234:J235"/>
    <mergeCell ref="H270:H271"/>
    <mergeCell ref="J242:J243"/>
    <mergeCell ref="I193:I194"/>
    <mergeCell ref="I205:I206"/>
    <mergeCell ref="H226:H227"/>
    <mergeCell ref="I137:I138"/>
    <mergeCell ref="J137:J138"/>
    <mergeCell ref="H179:H181"/>
    <mergeCell ref="I172:I173"/>
    <mergeCell ref="I242:I243"/>
    <mergeCell ref="I221:I223"/>
    <mergeCell ref="J221:J223"/>
    <mergeCell ref="I180:I181"/>
    <mergeCell ref="M638:M639"/>
    <mergeCell ref="K369:K370"/>
    <mergeCell ref="K353:K354"/>
    <mergeCell ref="K281:K282"/>
    <mergeCell ref="L640:L641"/>
    <mergeCell ref="P617:P618"/>
    <mergeCell ref="B30:B43"/>
    <mergeCell ref="G19:G21"/>
    <mergeCell ref="I387:I388"/>
    <mergeCell ref="J403:J404"/>
    <mergeCell ref="I411:I415"/>
    <mergeCell ref="J411:J415"/>
    <mergeCell ref="I397:I398"/>
    <mergeCell ref="J397:J398"/>
    <mergeCell ref="K100:K101"/>
    <mergeCell ref="J387:J388"/>
    <mergeCell ref="K264:K265"/>
    <mergeCell ref="J266:J267"/>
    <mergeCell ref="K266:K267"/>
    <mergeCell ref="J395:J396"/>
    <mergeCell ref="J342:J348"/>
    <mergeCell ref="K342:K348"/>
    <mergeCell ref="I31:I32"/>
    <mergeCell ref="J31:J32"/>
    <mergeCell ref="M578:M579"/>
    <mergeCell ref="K563:K564"/>
    <mergeCell ref="K411:K415"/>
    <mergeCell ref="K395:K396"/>
    <mergeCell ref="K403:K404"/>
    <mergeCell ref="K397:K398"/>
    <mergeCell ref="K570:K571"/>
    <mergeCell ref="I403:I404"/>
    <mergeCell ref="J407:J409"/>
    <mergeCell ref="Q617:Q618"/>
    <mergeCell ref="R617:R618"/>
    <mergeCell ref="I648:I649"/>
    <mergeCell ref="J648:J649"/>
    <mergeCell ref="I563:I564"/>
    <mergeCell ref="J563:J564"/>
    <mergeCell ref="N2:R2"/>
    <mergeCell ref="R3:R4"/>
    <mergeCell ref="N3:O3"/>
    <mergeCell ref="Q3:Q4"/>
    <mergeCell ref="K487:K488"/>
    <mergeCell ref="K381:K382"/>
    <mergeCell ref="K387:K388"/>
    <mergeCell ref="K511:K513"/>
    <mergeCell ref="K503:K505"/>
    <mergeCell ref="K419:K420"/>
    <mergeCell ref="K407:K409"/>
    <mergeCell ref="J419:J420"/>
    <mergeCell ref="J381:J382"/>
    <mergeCell ref="R640:R641"/>
    <mergeCell ref="I78:I82"/>
    <mergeCell ref="I266:I267"/>
    <mergeCell ref="I289:I291"/>
    <mergeCell ref="I294:I295"/>
    <mergeCell ref="G529:G530"/>
    <mergeCell ref="H511:H513"/>
    <mergeCell ref="H529:H530"/>
    <mergeCell ref="J511:J513"/>
    <mergeCell ref="I511:I513"/>
    <mergeCell ref="H567:H568"/>
    <mergeCell ref="F529:F530"/>
    <mergeCell ref="R653:R654"/>
    <mergeCell ref="R638:R639"/>
    <mergeCell ref="Q653:Q654"/>
    <mergeCell ref="N640:N641"/>
    <mergeCell ref="P640:P641"/>
    <mergeCell ref="Q640:Q641"/>
    <mergeCell ref="N638:N639"/>
    <mergeCell ref="P638:P639"/>
    <mergeCell ref="Q638:Q639"/>
    <mergeCell ref="P653:P654"/>
    <mergeCell ref="L653:L654"/>
    <mergeCell ref="M653:M654"/>
    <mergeCell ref="N653:N654"/>
    <mergeCell ref="N617:N618"/>
    <mergeCell ref="M640:M641"/>
    <mergeCell ref="M617:M618"/>
    <mergeCell ref="L638:L639"/>
    <mergeCell ref="J578:J579"/>
    <mergeCell ref="L578:L579"/>
    <mergeCell ref="H573:H574"/>
    <mergeCell ref="L617:L618"/>
    <mergeCell ref="I606:I607"/>
    <mergeCell ref="J606:J607"/>
    <mergeCell ref="K606:K607"/>
    <mergeCell ref="I570:I571"/>
    <mergeCell ref="J570:J571"/>
    <mergeCell ref="A1:P1"/>
    <mergeCell ref="C2:K2"/>
    <mergeCell ref="C3:E3"/>
    <mergeCell ref="I3:K3"/>
    <mergeCell ref="F3:H3"/>
    <mergeCell ref="K92:K93"/>
    <mergeCell ref="B2:B4"/>
    <mergeCell ref="B9:B10"/>
    <mergeCell ref="H92:H93"/>
    <mergeCell ref="A92:A93"/>
    <mergeCell ref="A2:A4"/>
    <mergeCell ref="J92:J93"/>
    <mergeCell ref="C64:C65"/>
    <mergeCell ref="D64:D65"/>
    <mergeCell ref="L2:M3"/>
    <mergeCell ref="A9:A10"/>
    <mergeCell ref="H11:H12"/>
    <mergeCell ref="K31:K32"/>
    <mergeCell ref="I33:I34"/>
    <mergeCell ref="I42:I43"/>
    <mergeCell ref="J42:J43"/>
    <mergeCell ref="K42:K43"/>
    <mergeCell ref="G30:G32"/>
    <mergeCell ref="H30:H32"/>
    <mergeCell ref="E64:E65"/>
    <mergeCell ref="F64:F65"/>
    <mergeCell ref="I49:I50"/>
    <mergeCell ref="K78:K81"/>
    <mergeCell ref="J78:J81"/>
    <mergeCell ref="F61:F62"/>
    <mergeCell ref="H78:H82"/>
    <mergeCell ref="H64:H65"/>
    <mergeCell ref="I65:I66"/>
    <mergeCell ref="I70:I71"/>
    <mergeCell ref="G73:G75"/>
    <mergeCell ref="G61:G62"/>
    <mergeCell ref="H61:H62"/>
    <mergeCell ref="G78:G82"/>
    <mergeCell ref="F73:F82"/>
    <mergeCell ref="G64:G65"/>
    <mergeCell ref="C511:C513"/>
    <mergeCell ref="C573:C574"/>
    <mergeCell ref="C601:C604"/>
    <mergeCell ref="C204:C207"/>
    <mergeCell ref="A407:A409"/>
    <mergeCell ref="C337:C338"/>
    <mergeCell ref="A401:A402"/>
    <mergeCell ref="A431:A432"/>
    <mergeCell ref="C487:C488"/>
    <mergeCell ref="B487:B488"/>
    <mergeCell ref="A489:A492"/>
    <mergeCell ref="C419:C420"/>
    <mergeCell ref="C237:C239"/>
    <mergeCell ref="C251:C252"/>
    <mergeCell ref="C259:C261"/>
    <mergeCell ref="C263:C265"/>
    <mergeCell ref="C379:C381"/>
    <mergeCell ref="A206:A207"/>
    <mergeCell ref="C273:C274"/>
    <mergeCell ref="C284:C286"/>
    <mergeCell ref="C403:C405"/>
    <mergeCell ref="C422:C425"/>
    <mergeCell ref="A449:A450"/>
    <mergeCell ref="A567:A568"/>
    <mergeCell ref="A508:A509"/>
    <mergeCell ref="C436:C440"/>
    <mergeCell ref="A319:A320"/>
    <mergeCell ref="E546:E547"/>
    <mergeCell ref="G578:G579"/>
    <mergeCell ref="F590:F591"/>
    <mergeCell ref="G617:G618"/>
    <mergeCell ref="E578:E579"/>
    <mergeCell ref="F567:F568"/>
    <mergeCell ref="E617:E618"/>
    <mergeCell ref="G558:G559"/>
    <mergeCell ref="F558:F559"/>
    <mergeCell ref="G601:G604"/>
    <mergeCell ref="F617:F618"/>
    <mergeCell ref="G573:G574"/>
    <mergeCell ref="F578:F579"/>
    <mergeCell ref="A511:A513"/>
    <mergeCell ref="A517:A518"/>
    <mergeCell ref="B517:B518"/>
    <mergeCell ref="C516:C519"/>
    <mergeCell ref="A558:A559"/>
    <mergeCell ref="C529:C530"/>
    <mergeCell ref="A546:A547"/>
    <mergeCell ref="C546:C547"/>
    <mergeCell ref="A197:A199"/>
    <mergeCell ref="D192:D196"/>
    <mergeCell ref="G270:G271"/>
    <mergeCell ref="C192:C196"/>
    <mergeCell ref="A307:A313"/>
    <mergeCell ref="A222:A223"/>
    <mergeCell ref="F300:F302"/>
    <mergeCell ref="F288:F291"/>
    <mergeCell ref="F251:F255"/>
    <mergeCell ref="C241:C244"/>
    <mergeCell ref="F211:F214"/>
    <mergeCell ref="G211:G214"/>
    <mergeCell ref="F278:F279"/>
    <mergeCell ref="F226:F229"/>
    <mergeCell ref="F245:F246"/>
    <mergeCell ref="D237:D239"/>
    <mergeCell ref="E237:E239"/>
    <mergeCell ref="A233:A235"/>
    <mergeCell ref="A194:A195"/>
    <mergeCell ref="C300:C302"/>
    <mergeCell ref="A225:A227"/>
    <mergeCell ref="D204:D207"/>
    <mergeCell ref="F270:F271"/>
    <mergeCell ref="A289:A290"/>
    <mergeCell ref="A279:A280"/>
    <mergeCell ref="H288:H291"/>
    <mergeCell ref="I419:I420"/>
    <mergeCell ref="D337:D338"/>
    <mergeCell ref="A343:A345"/>
    <mergeCell ref="H337:H338"/>
    <mergeCell ref="A364:A366"/>
    <mergeCell ref="A389:A392"/>
    <mergeCell ref="A475:A478"/>
    <mergeCell ref="I363:I368"/>
    <mergeCell ref="G379:G382"/>
    <mergeCell ref="I301:I302"/>
    <mergeCell ref="I279:I280"/>
    <mergeCell ref="D403:D405"/>
    <mergeCell ref="E403:E405"/>
    <mergeCell ref="C407:C415"/>
    <mergeCell ref="G419:G420"/>
    <mergeCell ref="D419:D420"/>
    <mergeCell ref="C394:C400"/>
    <mergeCell ref="D394:D400"/>
    <mergeCell ref="D422:D425"/>
    <mergeCell ref="E422:E425"/>
    <mergeCell ref="A424:A425"/>
    <mergeCell ref="K137:K138"/>
    <mergeCell ref="H134:H138"/>
    <mergeCell ref="G92:G93"/>
    <mergeCell ref="K221:K223"/>
    <mergeCell ref="C211:C214"/>
    <mergeCell ref="D211:D214"/>
    <mergeCell ref="E211:E214"/>
    <mergeCell ref="H192:H196"/>
    <mergeCell ref="E192:E196"/>
    <mergeCell ref="K122:K124"/>
    <mergeCell ref="I212:I213"/>
    <mergeCell ref="H211:H214"/>
    <mergeCell ref="I129:I130"/>
    <mergeCell ref="J129:J130"/>
    <mergeCell ref="K129:K130"/>
    <mergeCell ref="I127:I128"/>
    <mergeCell ref="J127:J128"/>
    <mergeCell ref="K127:K128"/>
    <mergeCell ref="F127:F128"/>
    <mergeCell ref="I131:I133"/>
    <mergeCell ref="K98:K99"/>
    <mergeCell ref="J100:J101"/>
    <mergeCell ref="I186:I187"/>
    <mergeCell ref="F179:F181"/>
    <mergeCell ref="J122:J124"/>
    <mergeCell ref="F123:F124"/>
    <mergeCell ref="G123:G124"/>
    <mergeCell ref="F134:F138"/>
    <mergeCell ref="G135:G138"/>
    <mergeCell ref="F125:F126"/>
    <mergeCell ref="D179:D180"/>
    <mergeCell ref="J172:J173"/>
    <mergeCell ref="I161:I162"/>
    <mergeCell ref="H132:H133"/>
    <mergeCell ref="I125:I126"/>
    <mergeCell ref="F147:F148"/>
    <mergeCell ref="D172:D173"/>
    <mergeCell ref="E172:E173"/>
    <mergeCell ref="F172:F173"/>
    <mergeCell ref="J132:J133"/>
    <mergeCell ref="G179:G181"/>
    <mergeCell ref="G132:G133"/>
    <mergeCell ref="D170:D171"/>
    <mergeCell ref="H169:H170"/>
    <mergeCell ref="E170:E171"/>
    <mergeCell ref="I122:I124"/>
    <mergeCell ref="A189:A190"/>
    <mergeCell ref="G156:G157"/>
    <mergeCell ref="F156:F157"/>
    <mergeCell ref="H156:H157"/>
    <mergeCell ref="H123:H124"/>
    <mergeCell ref="G127:G128"/>
    <mergeCell ref="H127:H128"/>
    <mergeCell ref="C160:C161"/>
    <mergeCell ref="D160:D161"/>
    <mergeCell ref="E160:E161"/>
    <mergeCell ref="F160:F161"/>
    <mergeCell ref="G160:G161"/>
    <mergeCell ref="H160:H161"/>
    <mergeCell ref="A135:A136"/>
    <mergeCell ref="A137:A138"/>
    <mergeCell ref="A131:A133"/>
    <mergeCell ref="A172:A173"/>
    <mergeCell ref="F189:F190"/>
    <mergeCell ref="A129:A130"/>
    <mergeCell ref="F129:F130"/>
    <mergeCell ref="G129:G130"/>
    <mergeCell ref="H129:H130"/>
    <mergeCell ref="C185:C188"/>
    <mergeCell ref="C179:C181"/>
    <mergeCell ref="F92:F93"/>
    <mergeCell ref="F108:F109"/>
    <mergeCell ref="A95:A96"/>
    <mergeCell ref="F95:F96"/>
    <mergeCell ref="G95:G96"/>
    <mergeCell ref="A100:A101"/>
    <mergeCell ref="F100:F101"/>
    <mergeCell ref="G100:G101"/>
    <mergeCell ref="E179:E181"/>
    <mergeCell ref="C172:C173"/>
    <mergeCell ref="D263:D265"/>
    <mergeCell ref="E263:E265"/>
    <mergeCell ref="F263:F265"/>
    <mergeCell ref="G263:G265"/>
    <mergeCell ref="H263:H265"/>
    <mergeCell ref="E185:E188"/>
    <mergeCell ref="I417:I418"/>
    <mergeCell ref="J417:J418"/>
    <mergeCell ref="K417:K418"/>
    <mergeCell ref="D185:D188"/>
    <mergeCell ref="E204:E207"/>
    <mergeCell ref="I381:I382"/>
    <mergeCell ref="J363:J367"/>
    <mergeCell ref="I318:I320"/>
    <mergeCell ref="J318:J320"/>
    <mergeCell ref="H379:H382"/>
    <mergeCell ref="J369:J370"/>
    <mergeCell ref="I395:I396"/>
    <mergeCell ref="I342:I348"/>
    <mergeCell ref="H247:H249"/>
    <mergeCell ref="I264:I265"/>
    <mergeCell ref="F192:F196"/>
    <mergeCell ref="D407:D415"/>
    <mergeCell ref="D379:D381"/>
    <mergeCell ref="I422:I424"/>
    <mergeCell ref="J422:J424"/>
    <mergeCell ref="K422:K424"/>
    <mergeCell ref="I407:I409"/>
    <mergeCell ref="E419:E420"/>
    <mergeCell ref="F573:F574"/>
    <mergeCell ref="I436:I437"/>
    <mergeCell ref="E436:E440"/>
    <mergeCell ref="F436:F440"/>
    <mergeCell ref="G511:G513"/>
    <mergeCell ref="F560:F561"/>
    <mergeCell ref="G560:G561"/>
    <mergeCell ref="H560:H561"/>
    <mergeCell ref="G546:G547"/>
    <mergeCell ref="G503:G505"/>
    <mergeCell ref="H546:H547"/>
    <mergeCell ref="H516:H519"/>
    <mergeCell ref="H558:H559"/>
    <mergeCell ref="F523:F524"/>
    <mergeCell ref="F527:F528"/>
    <mergeCell ref="F546:F547"/>
    <mergeCell ref="G516:G519"/>
    <mergeCell ref="D653:D654"/>
    <mergeCell ref="E653:E654"/>
    <mergeCell ref="J601:J603"/>
    <mergeCell ref="K601:K603"/>
    <mergeCell ref="F601:F604"/>
    <mergeCell ref="I448:I449"/>
    <mergeCell ref="H503:H505"/>
    <mergeCell ref="J503:J505"/>
    <mergeCell ref="J487:J488"/>
    <mergeCell ref="I503:I505"/>
    <mergeCell ref="I487:I488"/>
    <mergeCell ref="F503:F505"/>
    <mergeCell ref="D573:D574"/>
    <mergeCell ref="D546:D547"/>
    <mergeCell ref="D529:D530"/>
    <mergeCell ref="D617:D618"/>
    <mergeCell ref="E573:E574"/>
    <mergeCell ref="E529:E530"/>
    <mergeCell ref="G567:G568"/>
    <mergeCell ref="H578:H579"/>
    <mergeCell ref="K578:K579"/>
    <mergeCell ref="I578:I579"/>
    <mergeCell ref="F663:F665"/>
    <mergeCell ref="E638:E639"/>
    <mergeCell ref="E640:E641"/>
    <mergeCell ref="A578:A579"/>
    <mergeCell ref="I576:I577"/>
    <mergeCell ref="J576:J577"/>
    <mergeCell ref="K576:K577"/>
    <mergeCell ref="I581:I582"/>
    <mergeCell ref="J581:J582"/>
    <mergeCell ref="K581:K582"/>
    <mergeCell ref="D578:D579"/>
    <mergeCell ref="C578:C579"/>
    <mergeCell ref="B617:B618"/>
    <mergeCell ref="C617:C618"/>
    <mergeCell ref="B640:B641"/>
    <mergeCell ref="C640:C641"/>
    <mergeCell ref="B638:B639"/>
    <mergeCell ref="C638:C639"/>
    <mergeCell ref="D638:D639"/>
    <mergeCell ref="D601:D604"/>
    <mergeCell ref="I625:I626"/>
    <mergeCell ref="F640:F642"/>
    <mergeCell ref="H601:H604"/>
    <mergeCell ref="H617:H618"/>
    <mergeCell ref="F655:F656"/>
    <mergeCell ref="G655:G656"/>
    <mergeCell ref="H655:H656"/>
    <mergeCell ref="F638:F639"/>
    <mergeCell ref="G640:G641"/>
    <mergeCell ref="H640:H641"/>
    <mergeCell ref="H653:H654"/>
    <mergeCell ref="F653:F654"/>
    <mergeCell ref="G653:G654"/>
    <mergeCell ref="G638:G639"/>
    <mergeCell ref="H638:H639"/>
    <mergeCell ref="A669:A670"/>
    <mergeCell ref="B669:B670"/>
    <mergeCell ref="I560:I561"/>
    <mergeCell ref="J560:J561"/>
    <mergeCell ref="K560:K561"/>
    <mergeCell ref="A21:A22"/>
    <mergeCell ref="G663:G665"/>
    <mergeCell ref="H663:H665"/>
    <mergeCell ref="A655:A656"/>
    <mergeCell ref="B655:B656"/>
    <mergeCell ref="C655:C656"/>
    <mergeCell ref="D655:D656"/>
    <mergeCell ref="E655:E656"/>
    <mergeCell ref="A619:A620"/>
    <mergeCell ref="C663:C664"/>
    <mergeCell ref="D663:D664"/>
    <mergeCell ref="E663:E664"/>
    <mergeCell ref="A648:A649"/>
    <mergeCell ref="E601:E604"/>
    <mergeCell ref="D640:D641"/>
    <mergeCell ref="B653:B654"/>
    <mergeCell ref="C653:C654"/>
    <mergeCell ref="I668:I669"/>
    <mergeCell ref="I601:I603"/>
  </mergeCells>
  <phoneticPr fontId="0" type="noConversion"/>
  <pageMargins left="0.15748031496062992" right="0" top="0.74803149606299213" bottom="0.6692913385826772" header="0.39370078740157483" footer="0.39370078740157483"/>
  <pageSetup paperSize="9" scale="59" orientation="landscape" r:id="rId1"/>
  <headerFooter alignWithMargins="0">
    <oddFooter>&amp;L&amp;C&amp;"Arial"&amp;10&amp;P &amp;R</oddFooter>
  </headerFooter>
</worksheet>
</file>

<file path=xl/worksheets/sheet2.xml><?xml version="1.0" encoding="utf-8"?>
<worksheet xmlns="http://schemas.openxmlformats.org/spreadsheetml/2006/main" xmlns:r="http://schemas.openxmlformats.org/officeDocument/2006/relationships">
  <dimension ref="A2:FM44"/>
  <sheetViews>
    <sheetView zoomScaleNormal="100" workbookViewId="0">
      <pane xSplit="1" ySplit="2" topLeftCell="BJ3" activePane="bottomRight" state="frozen"/>
      <selection pane="topRight" activeCell="B1" sqref="B1"/>
      <selection pane="bottomLeft" activeCell="A3" sqref="A3"/>
      <selection pane="bottomRight" activeCell="BY22" sqref="BY22"/>
    </sheetView>
  </sheetViews>
  <sheetFormatPr defaultRowHeight="12.75"/>
  <cols>
    <col min="1" max="1" width="6" style="821" customWidth="1"/>
    <col min="2" max="3" width="7.140625" style="822" customWidth="1"/>
    <col min="4" max="4" width="6.7109375" style="822" customWidth="1"/>
    <col min="5" max="5" width="4.7109375" style="822" customWidth="1"/>
    <col min="6" max="7" width="7.28515625" style="822" customWidth="1"/>
    <col min="8" max="9" width="7.140625" style="822" customWidth="1"/>
    <col min="10" max="13" width="7.5703125" style="822" customWidth="1"/>
    <col min="14" max="15" width="9.7109375" style="822" customWidth="1"/>
    <col min="16" max="21" width="9.28515625" style="822" customWidth="1"/>
    <col min="22" max="23" width="7.7109375" style="822" customWidth="1"/>
    <col min="24" max="25" width="6" style="822" customWidth="1"/>
    <col min="26" max="26" width="7.42578125" style="822" customWidth="1"/>
    <col min="27" max="27" width="8.85546875" style="822" customWidth="1"/>
    <col min="28" max="29" width="7.85546875" style="822" customWidth="1"/>
    <col min="30" max="33" width="8.28515625" style="822" customWidth="1"/>
    <col min="34" max="37" width="6.28515625" style="822" customWidth="1"/>
    <col min="38" max="39" width="9.28515625" style="822" customWidth="1"/>
    <col min="40" max="41" width="7.7109375" style="822" customWidth="1"/>
    <col min="42" max="43" width="8.42578125" style="822" customWidth="1"/>
    <col min="44" max="44" width="9.140625" style="822" customWidth="1"/>
    <col min="45" max="45" width="8.42578125" style="822" customWidth="1"/>
    <col min="46" max="47" width="6.7109375" style="822" customWidth="1"/>
    <col min="48" max="48" width="8.42578125" style="822" customWidth="1"/>
    <col min="49" max="49" width="7.42578125" style="822" customWidth="1"/>
    <col min="50" max="51" width="7.85546875" style="822" customWidth="1"/>
    <col min="52" max="53" width="6.7109375" style="822" customWidth="1"/>
    <col min="54" max="57" width="8.7109375" style="822" customWidth="1"/>
    <col min="58" max="59" width="8.140625" style="819" customWidth="1"/>
    <col min="60" max="61" width="8.7109375" style="819" customWidth="1"/>
    <col min="62" max="63" width="8.5703125" style="819" customWidth="1"/>
    <col min="64" max="67" width="8.140625" style="819" customWidth="1"/>
    <col min="68" max="69" width="6.140625" style="819" hidden="1" customWidth="1"/>
    <col min="70" max="71" width="6.28515625" style="819" hidden="1" customWidth="1"/>
    <col min="72" max="73" width="8.42578125" style="819" customWidth="1"/>
    <col min="74" max="75" width="7.7109375" style="819" hidden="1" customWidth="1"/>
    <col min="76" max="79" width="7.42578125" style="819" customWidth="1"/>
    <col min="80" max="81" width="8.85546875" style="819" customWidth="1"/>
    <col min="82" max="82" width="9.5703125" style="819" customWidth="1"/>
    <col min="83" max="83" width="9.42578125" style="819" customWidth="1"/>
    <col min="84" max="84" width="9.5703125" style="819" customWidth="1"/>
    <col min="85" max="85" width="9.42578125" style="819" customWidth="1"/>
    <col min="86" max="86" width="9.5703125" style="819" customWidth="1"/>
    <col min="87" max="87" width="9.42578125" style="819" customWidth="1"/>
    <col min="88" max="89" width="7.140625" style="819" customWidth="1"/>
    <col min="90" max="91" width="7.42578125" style="819" customWidth="1"/>
    <col min="92" max="93" width="7.28515625" style="819" customWidth="1"/>
    <col min="94" max="95" width="6.140625" style="819" hidden="1" customWidth="1"/>
    <col min="96" max="97" width="6.85546875" style="819" customWidth="1"/>
    <col min="98" max="99" width="6.140625" style="819" hidden="1" customWidth="1"/>
    <col min="100" max="100" width="7.42578125" style="819" hidden="1" customWidth="1"/>
    <col min="101" max="101" width="6.28515625" style="819" hidden="1" customWidth="1"/>
    <col min="102" max="103" width="7.5703125" style="819" hidden="1" customWidth="1"/>
    <col min="104" max="109" width="7.42578125" style="819" hidden="1" customWidth="1"/>
    <col min="110" max="110" width="7.28515625" style="819" hidden="1" customWidth="1"/>
    <col min="111" max="111" width="6.7109375" style="819" hidden="1" customWidth="1"/>
    <col min="112" max="113" width="9" style="819" hidden="1" customWidth="1"/>
    <col min="114" max="115" width="7.5703125" style="819" hidden="1" customWidth="1"/>
    <col min="116" max="117" width="9.140625" style="819" hidden="1" customWidth="1"/>
    <col min="118" max="119" width="11.28515625" style="819" hidden="1" customWidth="1"/>
    <col min="120" max="121" width="8.85546875" style="819" hidden="1" customWidth="1"/>
    <col min="122" max="123" width="8" style="819" hidden="1" customWidth="1"/>
    <col min="124" max="125" width="8.42578125" style="819" hidden="1" customWidth="1"/>
    <col min="126" max="127" width="5.85546875" style="819" hidden="1" customWidth="1"/>
    <col min="128" max="129" width="9.5703125" style="819" hidden="1" customWidth="1"/>
    <col min="130" max="131" width="8.42578125" style="819" hidden="1" customWidth="1"/>
    <col min="132" max="133" width="6.7109375" style="819" hidden="1" customWidth="1"/>
    <col min="134" max="134" width="9.42578125" style="819" hidden="1" customWidth="1"/>
    <col min="135" max="135" width="9.140625" style="819" hidden="1" customWidth="1"/>
    <col min="136" max="137" width="6.5703125" style="819" hidden="1" customWidth="1"/>
    <col min="138" max="139" width="7.5703125" style="819" hidden="1" customWidth="1"/>
    <col min="140" max="140" width="8.85546875" style="819" hidden="1" customWidth="1"/>
    <col min="141" max="141" width="9.7109375" style="819" hidden="1" customWidth="1"/>
    <col min="142" max="145" width="8.7109375" style="819" hidden="1" customWidth="1"/>
    <col min="146" max="147" width="7.85546875" style="819" hidden="1" customWidth="1"/>
    <col min="148" max="149" width="7.28515625" style="819" hidden="1" customWidth="1"/>
    <col min="150" max="150" width="8.42578125" style="819" hidden="1" customWidth="1"/>
    <col min="151" max="151" width="8.28515625" style="819" hidden="1" customWidth="1"/>
    <col min="152" max="157" width="8.85546875" style="819" hidden="1" customWidth="1"/>
    <col min="158" max="163" width="6" style="819" hidden="1" customWidth="1"/>
    <col min="164" max="165" width="9" style="819" hidden="1" customWidth="1"/>
    <col min="166" max="167" width="9.28515625" style="819" hidden="1" customWidth="1"/>
    <col min="168" max="169" width="12" style="819" customWidth="1"/>
    <col min="170" max="16384" width="9.140625" style="819"/>
  </cols>
  <sheetData>
    <row r="2" spans="1:169" s="815" customFormat="1">
      <c r="A2" s="814"/>
      <c r="B2" s="1400" t="s">
        <v>1269</v>
      </c>
      <c r="C2" s="1401"/>
      <c r="D2" s="1400" t="s">
        <v>1270</v>
      </c>
      <c r="E2" s="1401"/>
      <c r="F2" s="1400" t="s">
        <v>1271</v>
      </c>
      <c r="G2" s="1401"/>
      <c r="H2" s="1400" t="s">
        <v>426</v>
      </c>
      <c r="I2" s="1401"/>
      <c r="J2" s="1400" t="s">
        <v>1272</v>
      </c>
      <c r="K2" s="1401"/>
      <c r="L2" s="1400" t="s">
        <v>1273</v>
      </c>
      <c r="M2" s="1401"/>
      <c r="N2" s="1400" t="s">
        <v>1274</v>
      </c>
      <c r="O2" s="1401"/>
      <c r="P2" s="1400" t="s">
        <v>326</v>
      </c>
      <c r="Q2" s="1401"/>
      <c r="R2" s="1400" t="s">
        <v>413</v>
      </c>
      <c r="S2" s="1401"/>
      <c r="T2" s="1400" t="s">
        <v>432</v>
      </c>
      <c r="U2" s="1401"/>
      <c r="V2" s="1400" t="s">
        <v>416</v>
      </c>
      <c r="W2" s="1401"/>
      <c r="X2" s="1400" t="s">
        <v>37</v>
      </c>
      <c r="Y2" s="1401"/>
      <c r="Z2" s="1400" t="s">
        <v>1275</v>
      </c>
      <c r="AA2" s="1401"/>
      <c r="AB2" s="1400" t="s">
        <v>1276</v>
      </c>
      <c r="AC2" s="1401"/>
      <c r="AD2" s="1400" t="s">
        <v>1277</v>
      </c>
      <c r="AE2" s="1401"/>
      <c r="AF2" s="1400" t="s">
        <v>1278</v>
      </c>
      <c r="AG2" s="1401"/>
      <c r="AH2" s="1400" t="s">
        <v>1279</v>
      </c>
      <c r="AI2" s="1401"/>
      <c r="AJ2" s="1400" t="s">
        <v>1280</v>
      </c>
      <c r="AK2" s="1401"/>
      <c r="AL2" s="1400" t="s">
        <v>440</v>
      </c>
      <c r="AM2" s="1401"/>
      <c r="AN2" s="1400" t="s">
        <v>442</v>
      </c>
      <c r="AO2" s="1401"/>
      <c r="AP2" s="1400" t="s">
        <v>444</v>
      </c>
      <c r="AQ2" s="1401"/>
      <c r="AR2" s="1400" t="s">
        <v>1281</v>
      </c>
      <c r="AS2" s="1401"/>
      <c r="AT2" s="1400" t="s">
        <v>1282</v>
      </c>
      <c r="AU2" s="1401"/>
      <c r="AV2" s="1400" t="s">
        <v>1283</v>
      </c>
      <c r="AW2" s="1401"/>
      <c r="AX2" s="1400" t="s">
        <v>1284</v>
      </c>
      <c r="AY2" s="1401"/>
      <c r="AZ2" s="1400" t="s">
        <v>678</v>
      </c>
      <c r="BA2" s="1401"/>
      <c r="BB2" s="1400" t="s">
        <v>1285</v>
      </c>
      <c r="BC2" s="1401"/>
      <c r="BD2" s="1400" t="s">
        <v>1286</v>
      </c>
      <c r="BE2" s="1401"/>
      <c r="BF2" s="1400" t="s">
        <v>1287</v>
      </c>
      <c r="BG2" s="1401"/>
      <c r="BH2" s="1400" t="s">
        <v>1288</v>
      </c>
      <c r="BI2" s="1401"/>
      <c r="BJ2" s="1400" t="s">
        <v>1289</v>
      </c>
      <c r="BK2" s="1401"/>
      <c r="BL2" s="1400" t="s">
        <v>1290</v>
      </c>
      <c r="BM2" s="1401"/>
      <c r="BN2" s="1400" t="s">
        <v>1291</v>
      </c>
      <c r="BO2" s="1401"/>
      <c r="BP2" s="1400" t="s">
        <v>1292</v>
      </c>
      <c r="BQ2" s="1401"/>
      <c r="BR2" s="1400" t="s">
        <v>1293</v>
      </c>
      <c r="BS2" s="1401"/>
      <c r="BT2" s="1400" t="s">
        <v>1294</v>
      </c>
      <c r="BU2" s="1401"/>
      <c r="BV2" s="1400" t="s">
        <v>1295</v>
      </c>
      <c r="BW2" s="1401"/>
      <c r="BX2" s="1400" t="s">
        <v>1296</v>
      </c>
      <c r="BY2" s="1401"/>
      <c r="BZ2" s="1400" t="s">
        <v>1297</v>
      </c>
      <c r="CA2" s="1401"/>
      <c r="CB2" s="1400" t="s">
        <v>1298</v>
      </c>
      <c r="CC2" s="1401"/>
      <c r="CD2" s="1400" t="s">
        <v>1299</v>
      </c>
      <c r="CE2" s="1401"/>
      <c r="CF2" s="1400" t="s">
        <v>1300</v>
      </c>
      <c r="CG2" s="1401"/>
      <c r="CH2" s="1400" t="s">
        <v>1372</v>
      </c>
      <c r="CI2" s="1401"/>
      <c r="CJ2" s="1400" t="s">
        <v>1301</v>
      </c>
      <c r="CK2" s="1401"/>
      <c r="CL2" s="1400" t="s">
        <v>1302</v>
      </c>
      <c r="CM2" s="1401"/>
      <c r="CN2" s="1400" t="s">
        <v>1303</v>
      </c>
      <c r="CO2" s="1401"/>
      <c r="CP2" s="1400" t="s">
        <v>1304</v>
      </c>
      <c r="CQ2" s="1401"/>
      <c r="CR2" s="1400" t="s">
        <v>1305</v>
      </c>
      <c r="CS2" s="1401"/>
      <c r="CT2" s="1400" t="s">
        <v>1306</v>
      </c>
      <c r="CU2" s="1401"/>
      <c r="CV2" s="1400" t="s">
        <v>1307</v>
      </c>
      <c r="CW2" s="1401"/>
      <c r="CX2" s="1400" t="s">
        <v>1308</v>
      </c>
      <c r="CY2" s="1401"/>
      <c r="CZ2" s="1400" t="s">
        <v>1309</v>
      </c>
      <c r="DA2" s="1401"/>
      <c r="DB2" s="1400" t="s">
        <v>1310</v>
      </c>
      <c r="DC2" s="1401"/>
      <c r="DD2" s="1400" t="s">
        <v>1311</v>
      </c>
      <c r="DE2" s="1401"/>
      <c r="DF2" s="1400" t="s">
        <v>1312</v>
      </c>
      <c r="DG2" s="1401"/>
      <c r="DH2" s="1400" t="s">
        <v>1313</v>
      </c>
      <c r="DI2" s="1401"/>
      <c r="DJ2" s="1400" t="s">
        <v>1314</v>
      </c>
      <c r="DK2" s="1401"/>
      <c r="DL2" s="1400" t="s">
        <v>1315</v>
      </c>
      <c r="DM2" s="1401"/>
      <c r="DN2" s="1400" t="s">
        <v>1316</v>
      </c>
      <c r="DO2" s="1401"/>
      <c r="DP2" s="1400" t="s">
        <v>1317</v>
      </c>
      <c r="DQ2" s="1401"/>
      <c r="DR2" s="1400" t="s">
        <v>1318</v>
      </c>
      <c r="DS2" s="1401"/>
      <c r="DT2" s="1400" t="s">
        <v>1319</v>
      </c>
      <c r="DU2" s="1401"/>
      <c r="DV2" s="1400" t="s">
        <v>1320</v>
      </c>
      <c r="DW2" s="1401"/>
      <c r="DX2" s="1400" t="s">
        <v>1321</v>
      </c>
      <c r="DY2" s="1401"/>
      <c r="DZ2" s="1400" t="s">
        <v>1322</v>
      </c>
      <c r="EA2" s="1401"/>
      <c r="EB2" s="1400" t="s">
        <v>469</v>
      </c>
      <c r="EC2" s="1401"/>
      <c r="ED2" s="1400" t="s">
        <v>470</v>
      </c>
      <c r="EE2" s="1401"/>
      <c r="EF2" s="1400" t="s">
        <v>472</v>
      </c>
      <c r="EG2" s="1401"/>
      <c r="EH2" s="1400" t="s">
        <v>1323</v>
      </c>
      <c r="EI2" s="1401"/>
      <c r="EJ2" s="1400" t="s">
        <v>1324</v>
      </c>
      <c r="EK2" s="1401"/>
      <c r="EL2" s="1400" t="s">
        <v>1325</v>
      </c>
      <c r="EM2" s="1401"/>
      <c r="EN2" s="1400" t="s">
        <v>1326</v>
      </c>
      <c r="EO2" s="1401"/>
      <c r="EP2" s="1400" t="s">
        <v>1327</v>
      </c>
      <c r="EQ2" s="1401"/>
      <c r="ER2" s="1400" t="s">
        <v>475</v>
      </c>
      <c r="ES2" s="1401"/>
      <c r="ET2" s="1400" t="s">
        <v>1328</v>
      </c>
      <c r="EU2" s="1401"/>
      <c r="EV2" s="1400" t="s">
        <v>1329</v>
      </c>
      <c r="EW2" s="1401"/>
      <c r="EX2" s="1400" t="s">
        <v>543</v>
      </c>
      <c r="EY2" s="1401"/>
      <c r="EZ2" s="1400" t="s">
        <v>557</v>
      </c>
      <c r="FA2" s="1401"/>
      <c r="FB2" s="1400" t="s">
        <v>1330</v>
      </c>
      <c r="FC2" s="1401"/>
      <c r="FD2" s="1400" t="s">
        <v>1331</v>
      </c>
      <c r="FE2" s="1401"/>
      <c r="FF2" s="1400" t="s">
        <v>574</v>
      </c>
      <c r="FG2" s="1401"/>
      <c r="FH2" s="1400" t="s">
        <v>482</v>
      </c>
      <c r="FI2" s="1401"/>
      <c r="FJ2" s="1400" t="s">
        <v>1332</v>
      </c>
      <c r="FK2" s="1401"/>
      <c r="FL2" s="1399" t="s">
        <v>1333</v>
      </c>
      <c r="FM2" s="1399"/>
    </row>
    <row r="3" spans="1:169">
      <c r="A3" s="816" t="s">
        <v>1334</v>
      </c>
      <c r="B3" s="817"/>
      <c r="C3" s="817"/>
      <c r="D3" s="817"/>
      <c r="E3" s="817"/>
      <c r="F3" s="817"/>
      <c r="G3" s="817"/>
      <c r="H3" s="817"/>
      <c r="I3" s="817"/>
      <c r="J3" s="817"/>
      <c r="K3" s="817"/>
      <c r="L3" s="817"/>
      <c r="M3" s="817"/>
      <c r="N3" s="817"/>
      <c r="O3" s="817"/>
      <c r="P3" s="817"/>
      <c r="Q3" s="817"/>
      <c r="R3" s="817"/>
      <c r="S3" s="817"/>
      <c r="T3" s="817"/>
      <c r="U3" s="817"/>
      <c r="V3" s="817"/>
      <c r="W3" s="817"/>
      <c r="X3" s="817"/>
      <c r="Y3" s="817"/>
      <c r="Z3" s="817"/>
      <c r="AA3" s="817"/>
      <c r="AB3" s="817"/>
      <c r="AC3" s="817"/>
      <c r="AD3" s="817"/>
      <c r="AE3" s="817"/>
      <c r="AF3" s="817"/>
      <c r="AG3" s="817"/>
      <c r="AH3" s="817"/>
      <c r="AI3" s="817"/>
      <c r="AJ3" s="817"/>
      <c r="AK3" s="817"/>
      <c r="AL3" s="817"/>
      <c r="AM3" s="817"/>
      <c r="AN3" s="817"/>
      <c r="AO3" s="817"/>
      <c r="AP3" s="817"/>
      <c r="AQ3" s="817"/>
      <c r="AR3" s="817"/>
      <c r="AS3" s="817"/>
      <c r="AT3" s="817"/>
      <c r="AU3" s="817"/>
      <c r="AV3" s="817"/>
      <c r="AW3" s="817"/>
      <c r="AX3" s="817"/>
      <c r="AY3" s="817"/>
      <c r="AZ3" s="817"/>
      <c r="BA3" s="817"/>
      <c r="BB3" s="817"/>
      <c r="BC3" s="817"/>
      <c r="BD3" s="817"/>
      <c r="BE3" s="817"/>
      <c r="BF3" s="817"/>
      <c r="BG3" s="817"/>
      <c r="BH3" s="817"/>
      <c r="BI3" s="817"/>
      <c r="BJ3" s="817"/>
      <c r="BK3" s="817"/>
      <c r="BL3" s="817">
        <f>17.615+646.089</f>
        <v>663.70400000000006</v>
      </c>
      <c r="BM3" s="817">
        <f>17.615+646.089</f>
        <v>663.70400000000006</v>
      </c>
      <c r="BN3" s="817">
        <f>115.132+2359.923</f>
        <v>2475.0549999999998</v>
      </c>
      <c r="BO3" s="817">
        <f>115.132+2359.923</f>
        <v>2475.0549999999998</v>
      </c>
      <c r="BP3" s="817"/>
      <c r="BQ3" s="817"/>
      <c r="BR3" s="817"/>
      <c r="BS3" s="817"/>
      <c r="BT3" s="817"/>
      <c r="BU3" s="817"/>
      <c r="BV3" s="817"/>
      <c r="BW3" s="817"/>
      <c r="BX3" s="817"/>
      <c r="BY3" s="817"/>
      <c r="BZ3" s="817"/>
      <c r="CA3" s="817"/>
      <c r="CB3" s="817"/>
      <c r="CC3" s="817"/>
      <c r="CD3" s="817"/>
      <c r="CE3" s="817"/>
      <c r="CF3" s="817"/>
      <c r="CG3" s="817"/>
      <c r="CH3" s="817"/>
      <c r="CI3" s="817"/>
      <c r="CJ3" s="817"/>
      <c r="CK3" s="817"/>
      <c r="CL3" s="817"/>
      <c r="CM3" s="817"/>
      <c r="CN3" s="817"/>
      <c r="CO3" s="817"/>
      <c r="CP3" s="817"/>
      <c r="CQ3" s="817"/>
      <c r="CR3" s="817"/>
      <c r="CS3" s="817"/>
      <c r="CT3" s="817"/>
      <c r="CU3" s="817"/>
      <c r="CV3" s="817"/>
      <c r="CW3" s="817"/>
      <c r="CX3" s="817"/>
      <c r="CY3" s="817"/>
      <c r="CZ3" s="817"/>
      <c r="DA3" s="817"/>
      <c r="DB3" s="817"/>
      <c r="DC3" s="817"/>
      <c r="DD3" s="817"/>
      <c r="DE3" s="817"/>
      <c r="DF3" s="817"/>
      <c r="DG3" s="817"/>
      <c r="DH3" s="817"/>
      <c r="DI3" s="817"/>
      <c r="DJ3" s="817"/>
      <c r="DK3" s="817"/>
      <c r="DL3" s="817"/>
      <c r="DM3" s="817"/>
      <c r="DN3" s="817"/>
      <c r="DO3" s="817"/>
      <c r="DP3" s="817"/>
      <c r="DQ3" s="817"/>
      <c r="DR3" s="817"/>
      <c r="DS3" s="817"/>
      <c r="DT3" s="817"/>
      <c r="DU3" s="817"/>
      <c r="DV3" s="817"/>
      <c r="DW3" s="817"/>
      <c r="DX3" s="817"/>
      <c r="DY3" s="817"/>
      <c r="DZ3" s="817"/>
      <c r="EA3" s="817"/>
      <c r="EB3" s="817"/>
      <c r="EC3" s="817"/>
      <c r="ED3" s="817"/>
      <c r="EE3" s="817"/>
      <c r="EF3" s="817"/>
      <c r="EG3" s="817"/>
      <c r="EH3" s="817"/>
      <c r="EI3" s="817"/>
      <c r="EJ3" s="817"/>
      <c r="EK3" s="817"/>
      <c r="EL3" s="817"/>
      <c r="EM3" s="817"/>
      <c r="EN3" s="817"/>
      <c r="EO3" s="817"/>
      <c r="EP3" s="817"/>
      <c r="EQ3" s="817"/>
      <c r="ER3" s="817"/>
      <c r="ES3" s="817"/>
      <c r="ET3" s="817"/>
      <c r="EU3" s="817"/>
      <c r="EV3" s="817"/>
      <c r="EW3" s="817"/>
      <c r="EX3" s="817"/>
      <c r="EY3" s="817"/>
      <c r="EZ3" s="817"/>
      <c r="FA3" s="817"/>
      <c r="FB3" s="817"/>
      <c r="FC3" s="817"/>
      <c r="FD3" s="817"/>
      <c r="FE3" s="817"/>
      <c r="FF3" s="817"/>
      <c r="FG3" s="817"/>
      <c r="FH3" s="817"/>
      <c r="FI3" s="817"/>
      <c r="FJ3" s="817"/>
      <c r="FK3" s="817"/>
      <c r="FL3" s="818">
        <f>B3+D3+F3+H3+J3+L3+N3+P3+R3+T3+V3+X3+Z3+AB3+AD3+AF3+AH3+AJ3+AL3+AN3+AP3+AR3+AT3+AV3+AX3+AZ3+BB3+BD3+BF3+BH3+BJ3+BL3+BN3+BP3+BR3+BT3+BV3+BX3+BZ3+CB3+CD3+CF3+CH3+CJ3+CL3+CN3+CP3+CR3+CT3+CV3+CX3+CZ3+DB3+DD3+DF3+DH3+DJ3+DL3+DN3+DP3+DR3+DT3+DV3+DX3+DZ3+EB3+ED3+EF3+EH3+EJ3+EP3+ER3+EV3+FB3+FH3+FJ3</f>
        <v>3138.759</v>
      </c>
      <c r="FM3" s="818">
        <f>C3+E3+G3+I3+K3+M3+O3+Q3+S3+U3+W3+Y3+AA3+AC3+AE3+AG3+AI3+AK3+AM3+AO3+AQ3+AS3+AU3+AW3+AY3+BA3+BC3+BE3+BG3+BI3+BK3+BM3+BO3+BQ3+BS3+BU3+BW3+BY3+CA3+CC3+CE3+CG3+CI3+CK3+CM3+CO3+CQ3+CS3+CU3+CW3+CY3+DA3+DC3+DE3+DG3+DI3+DK3+DM3+DO3+DQ3+DS3+DU3+DW3+DY3+EA3+EC3+EE3+EG3+EI3+EK3+EQ3+ES3+EW3+FC3+FI3+FK3</f>
        <v>3138.759</v>
      </c>
    </row>
    <row r="4" spans="1:169">
      <c r="A4" s="816" t="s">
        <v>1335</v>
      </c>
      <c r="B4" s="817"/>
      <c r="C4" s="817"/>
      <c r="D4" s="817"/>
      <c r="E4" s="817"/>
      <c r="F4" s="817"/>
      <c r="G4" s="817"/>
      <c r="H4" s="817"/>
      <c r="I4" s="817"/>
      <c r="J4" s="817"/>
      <c r="K4" s="817"/>
      <c r="L4" s="817"/>
      <c r="M4" s="817"/>
      <c r="N4" s="817"/>
      <c r="O4" s="817"/>
      <c r="P4" s="817"/>
      <c r="Q4" s="817"/>
      <c r="R4" s="817"/>
      <c r="S4" s="817"/>
      <c r="T4" s="817"/>
      <c r="U4" s="817"/>
      <c r="V4" s="817"/>
      <c r="W4" s="817"/>
      <c r="X4" s="817"/>
      <c r="Y4" s="817"/>
      <c r="Z4" s="817"/>
      <c r="AA4" s="817"/>
      <c r="AB4" s="817"/>
      <c r="AC4" s="817"/>
      <c r="AD4" s="817"/>
      <c r="AE4" s="817"/>
      <c r="AF4" s="817"/>
      <c r="AG4" s="817"/>
      <c r="AH4" s="817"/>
      <c r="AI4" s="817"/>
      <c r="AJ4" s="817"/>
      <c r="AK4" s="817"/>
      <c r="AL4" s="817"/>
      <c r="AM4" s="817"/>
      <c r="AN4" s="817"/>
      <c r="AO4" s="817"/>
      <c r="AP4" s="817"/>
      <c r="AQ4" s="817"/>
      <c r="AR4" s="817"/>
      <c r="AS4" s="817"/>
      <c r="AT4" s="817"/>
      <c r="AU4" s="817"/>
      <c r="AV4" s="817"/>
      <c r="AW4" s="817"/>
      <c r="AX4" s="817"/>
      <c r="AY4" s="817"/>
      <c r="AZ4" s="817"/>
      <c r="BA4" s="817"/>
      <c r="BB4" s="817"/>
      <c r="BC4" s="817"/>
      <c r="BD4" s="817"/>
      <c r="BE4" s="817"/>
      <c r="BF4" s="817"/>
      <c r="BG4" s="817"/>
      <c r="BH4" s="817"/>
      <c r="BI4" s="817"/>
      <c r="BJ4" s="817"/>
      <c r="BK4" s="817"/>
      <c r="BL4" s="817">
        <v>926.6</v>
      </c>
      <c r="BM4" s="817">
        <v>917.57500000000005</v>
      </c>
      <c r="BN4" s="817"/>
      <c r="BO4" s="817"/>
      <c r="BP4" s="817"/>
      <c r="BQ4" s="817"/>
      <c r="BR4" s="817"/>
      <c r="BS4" s="817"/>
      <c r="BT4" s="817"/>
      <c r="BU4" s="817"/>
      <c r="BV4" s="817"/>
      <c r="BW4" s="817"/>
      <c r="BX4" s="817"/>
      <c r="BY4" s="817"/>
      <c r="BZ4" s="817"/>
      <c r="CA4" s="817"/>
      <c r="CB4" s="817"/>
      <c r="CC4" s="817"/>
      <c r="CD4" s="817"/>
      <c r="CE4" s="817"/>
      <c r="CF4" s="817"/>
      <c r="CG4" s="817"/>
      <c r="CH4" s="817"/>
      <c r="CI4" s="817"/>
      <c r="CJ4" s="817"/>
      <c r="CK4" s="817"/>
      <c r="CL4" s="817"/>
      <c r="CM4" s="817"/>
      <c r="CN4" s="817"/>
      <c r="CO4" s="817"/>
      <c r="CP4" s="817"/>
      <c r="CQ4" s="817"/>
      <c r="CR4" s="817"/>
      <c r="CS4" s="817"/>
      <c r="CT4" s="817"/>
      <c r="CU4" s="817"/>
      <c r="CV4" s="817"/>
      <c r="CW4" s="817"/>
      <c r="CX4" s="817"/>
      <c r="CY4" s="817"/>
      <c r="CZ4" s="817"/>
      <c r="DA4" s="817"/>
      <c r="DB4" s="817"/>
      <c r="DC4" s="817"/>
      <c r="DD4" s="817"/>
      <c r="DE4" s="817"/>
      <c r="DF4" s="817"/>
      <c r="DG4" s="817"/>
      <c r="DH4" s="817"/>
      <c r="DI4" s="817"/>
      <c r="DJ4" s="817"/>
      <c r="DK4" s="817"/>
      <c r="DL4" s="817"/>
      <c r="DM4" s="817"/>
      <c r="DN4" s="817"/>
      <c r="DO4" s="817"/>
      <c r="DP4" s="817"/>
      <c r="DQ4" s="817"/>
      <c r="DR4" s="817"/>
      <c r="DS4" s="817"/>
      <c r="DT4" s="817"/>
      <c r="DU4" s="817"/>
      <c r="DV4" s="817"/>
      <c r="DW4" s="817"/>
      <c r="DX4" s="817"/>
      <c r="DY4" s="817"/>
      <c r="DZ4" s="817"/>
      <c r="EA4" s="817"/>
      <c r="EB4" s="817"/>
      <c r="EC4" s="817"/>
      <c r="ED4" s="817"/>
      <c r="EE4" s="817"/>
      <c r="EF4" s="817"/>
      <c r="EG4" s="817"/>
      <c r="EH4" s="817"/>
      <c r="EI4" s="817"/>
      <c r="EJ4" s="817"/>
      <c r="EK4" s="817"/>
      <c r="EL4" s="817"/>
      <c r="EM4" s="817"/>
      <c r="EN4" s="817"/>
      <c r="EO4" s="817"/>
      <c r="EP4" s="817"/>
      <c r="EQ4" s="817"/>
      <c r="ER4" s="817"/>
      <c r="ES4" s="817"/>
      <c r="ET4" s="817"/>
      <c r="EU4" s="817"/>
      <c r="EV4" s="817"/>
      <c r="EW4" s="817"/>
      <c r="EX4" s="817"/>
      <c r="EY4" s="817"/>
      <c r="EZ4" s="817"/>
      <c r="FA4" s="817"/>
      <c r="FB4" s="817"/>
      <c r="FC4" s="817"/>
      <c r="FD4" s="817"/>
      <c r="FE4" s="817"/>
      <c r="FF4" s="817"/>
      <c r="FG4" s="817"/>
      <c r="FH4" s="817"/>
      <c r="FI4" s="817"/>
      <c r="FJ4" s="817"/>
      <c r="FK4" s="817"/>
      <c r="FL4" s="818">
        <f t="shared" ref="FL4:FL41" si="0">B4+D4+F4+H4+J4+L4+N4+P4+R4+T4+V4+X4+Z4+AB4+AD4+AF4+AH4+AJ4+AL4+AN4+AP4+AR4+AT4+AV4+AX4+AZ4+BB4+BD4+BF4+BH4+BJ4+BL4+BN4+BP4+BR4+BT4+BV4+BX4+BZ4+CB4+CD4+CF4+CH4+CJ4+CL4+CN4+CP4+CR4+CT4+CV4+CX4+CZ4+DB4+DD4+DF4+DH4+DJ4+DL4+DN4+DP4+DR4+DT4+DV4+DX4+DZ4+EB4+ED4+EF4+EH4+EJ4+EP4+ER4+EV4+FB4+FH4+FJ4</f>
        <v>926.6</v>
      </c>
      <c r="FM4" s="818">
        <f t="shared" ref="FM4:FM41" si="1">C4+E4+G4+I4+K4+M4+O4+Q4+S4+U4+W4+Y4+AA4+AC4+AE4+AG4+AI4+AK4+AM4+AO4+AQ4+AS4+AU4+AW4+AY4+BA4+BC4+BE4+BG4+BI4+BK4+BM4+BO4+BQ4+BS4+BU4+BW4+BY4+CA4+CC4+CE4+CG4+CI4+CK4+CM4+CO4+CQ4+CS4+CU4+CW4+CY4+DA4+DC4+DE4+DG4+DI4+DK4+DM4+DO4+DQ4+DS4+DU4+DW4+DY4+EA4+EC4+EE4+EG4+EI4+EK4+EQ4+ES4+EW4+FC4+FI4+FK4</f>
        <v>917.57500000000005</v>
      </c>
    </row>
    <row r="5" spans="1:169">
      <c r="A5" s="816" t="s">
        <v>1336</v>
      </c>
      <c r="B5" s="817"/>
      <c r="C5" s="817"/>
      <c r="D5" s="817"/>
      <c r="E5" s="817"/>
      <c r="F5" s="817"/>
      <c r="G5" s="817"/>
      <c r="H5" s="817"/>
      <c r="I5" s="817"/>
      <c r="J5" s="817"/>
      <c r="K5" s="817"/>
      <c r="L5" s="817"/>
      <c r="M5" s="817"/>
      <c r="N5" s="817"/>
      <c r="O5" s="817"/>
      <c r="P5" s="817"/>
      <c r="Q5" s="817"/>
      <c r="R5" s="817"/>
      <c r="S5" s="817"/>
      <c r="T5" s="817"/>
      <c r="U5" s="817"/>
      <c r="V5" s="817"/>
      <c r="W5" s="817"/>
      <c r="X5" s="817"/>
      <c r="Y5" s="817"/>
      <c r="Z5" s="817"/>
      <c r="AA5" s="817"/>
      <c r="AB5" s="817"/>
      <c r="AC5" s="817"/>
      <c r="AD5" s="817"/>
      <c r="AE5" s="817"/>
      <c r="AF5" s="817"/>
      <c r="AG5" s="817"/>
      <c r="AH5" s="817"/>
      <c r="AI5" s="817"/>
      <c r="AJ5" s="817"/>
      <c r="AK5" s="817"/>
      <c r="AL5" s="817"/>
      <c r="AM5" s="817"/>
      <c r="AN5" s="817"/>
      <c r="AO5" s="817"/>
      <c r="AP5" s="817"/>
      <c r="AQ5" s="817"/>
      <c r="AR5" s="817"/>
      <c r="AS5" s="817"/>
      <c r="AT5" s="817"/>
      <c r="AU5" s="817"/>
      <c r="AV5" s="817"/>
      <c r="AW5" s="817"/>
      <c r="AX5" s="817"/>
      <c r="AY5" s="817"/>
      <c r="AZ5" s="817"/>
      <c r="BA5" s="817"/>
      <c r="BB5" s="817"/>
      <c r="BC5" s="817"/>
      <c r="BD5" s="817"/>
      <c r="BE5" s="817"/>
      <c r="BF5" s="817"/>
      <c r="BG5" s="817"/>
      <c r="BH5" s="817"/>
      <c r="BI5" s="817"/>
      <c r="BJ5" s="817"/>
      <c r="BK5" s="817"/>
      <c r="BL5" s="817">
        <f>1460.4+26337.996</f>
        <v>27798.396000000001</v>
      </c>
      <c r="BM5" s="817">
        <f>1092.722+25213.571</f>
        <v>26306.293000000001</v>
      </c>
      <c r="BN5" s="817">
        <f>532.76+37790.146</f>
        <v>38322.906000000003</v>
      </c>
      <c r="BO5" s="817">
        <f>532.76+37442.872</f>
        <v>37975.632000000005</v>
      </c>
      <c r="BP5" s="817"/>
      <c r="BQ5" s="817"/>
      <c r="BR5" s="817"/>
      <c r="BS5" s="817"/>
      <c r="BT5" s="817"/>
      <c r="BU5" s="817"/>
      <c r="BV5" s="817"/>
      <c r="BW5" s="817"/>
      <c r="BX5" s="817"/>
      <c r="BY5" s="817"/>
      <c r="BZ5" s="817">
        <v>847.00300000000004</v>
      </c>
      <c r="CA5" s="817">
        <v>847.00300000000004</v>
      </c>
      <c r="CB5" s="817"/>
      <c r="CC5" s="817"/>
      <c r="CD5" s="817"/>
      <c r="CE5" s="817"/>
      <c r="CF5" s="817"/>
      <c r="CG5" s="817"/>
      <c r="CH5" s="817"/>
      <c r="CI5" s="817"/>
      <c r="CJ5" s="817"/>
      <c r="CK5" s="817"/>
      <c r="CL5" s="817"/>
      <c r="CM5" s="817"/>
      <c r="CN5" s="817"/>
      <c r="CO5" s="817"/>
      <c r="CP5" s="817"/>
      <c r="CQ5" s="817"/>
      <c r="CR5" s="817"/>
      <c r="CS5" s="817"/>
      <c r="CT5" s="817"/>
      <c r="CU5" s="817"/>
      <c r="CV5" s="817"/>
      <c r="CW5" s="817"/>
      <c r="CX5" s="817"/>
      <c r="CY5" s="817"/>
      <c r="CZ5" s="817"/>
      <c r="DA5" s="817"/>
      <c r="DB5" s="817"/>
      <c r="DC5" s="817"/>
      <c r="DD5" s="817"/>
      <c r="DE5" s="817"/>
      <c r="DF5" s="817"/>
      <c r="DG5" s="817"/>
      <c r="DH5" s="817"/>
      <c r="DI5" s="817"/>
      <c r="DJ5" s="817"/>
      <c r="DK5" s="817"/>
      <c r="DL5" s="817"/>
      <c r="DM5" s="817"/>
      <c r="DN5" s="817"/>
      <c r="DO5" s="817"/>
      <c r="DP5" s="817"/>
      <c r="DQ5" s="817"/>
      <c r="DR5" s="817"/>
      <c r="DS5" s="817"/>
      <c r="DT5" s="817"/>
      <c r="DU5" s="817"/>
      <c r="DV5" s="817"/>
      <c r="DW5" s="817"/>
      <c r="DX5" s="817"/>
      <c r="DY5" s="817"/>
      <c r="DZ5" s="817"/>
      <c r="EA5" s="817"/>
      <c r="EB5" s="817"/>
      <c r="EC5" s="817"/>
      <c r="ED5" s="817"/>
      <c r="EE5" s="817"/>
      <c r="EF5" s="817"/>
      <c r="EG5" s="817"/>
      <c r="EH5" s="817"/>
      <c r="EI5" s="817"/>
      <c r="EJ5" s="817"/>
      <c r="EK5" s="817"/>
      <c r="EL5" s="817"/>
      <c r="EM5" s="817"/>
      <c r="EN5" s="817"/>
      <c r="EO5" s="817"/>
      <c r="EP5" s="817"/>
      <c r="EQ5" s="817"/>
      <c r="ER5" s="817"/>
      <c r="ES5" s="817"/>
      <c r="ET5" s="817"/>
      <c r="EU5" s="817"/>
      <c r="EV5" s="817"/>
      <c r="EW5" s="817"/>
      <c r="EX5" s="817"/>
      <c r="EY5" s="817"/>
      <c r="EZ5" s="817"/>
      <c r="FA5" s="817"/>
      <c r="FB5" s="817"/>
      <c r="FC5" s="817"/>
      <c r="FD5" s="817"/>
      <c r="FE5" s="817"/>
      <c r="FF5" s="817"/>
      <c r="FG5" s="817"/>
      <c r="FH5" s="817"/>
      <c r="FI5" s="817"/>
      <c r="FJ5" s="817"/>
      <c r="FK5" s="817"/>
      <c r="FL5" s="818">
        <f t="shared" si="0"/>
        <v>66968.304999999993</v>
      </c>
      <c r="FM5" s="818">
        <f t="shared" si="1"/>
        <v>65128.928</v>
      </c>
    </row>
    <row r="6" spans="1:169">
      <c r="A6" s="816" t="s">
        <v>1337</v>
      </c>
      <c r="B6" s="817"/>
      <c r="C6" s="817"/>
      <c r="D6" s="817"/>
      <c r="E6" s="817"/>
      <c r="F6" s="817"/>
      <c r="G6" s="817"/>
      <c r="H6" s="817"/>
      <c r="I6" s="817"/>
      <c r="J6" s="817"/>
      <c r="K6" s="817"/>
      <c r="L6" s="817"/>
      <c r="M6" s="817"/>
      <c r="N6" s="817"/>
      <c r="O6" s="817"/>
      <c r="P6" s="817"/>
      <c r="Q6" s="817"/>
      <c r="R6" s="817"/>
      <c r="S6" s="817"/>
      <c r="T6" s="817"/>
      <c r="U6" s="817"/>
      <c r="V6" s="817"/>
      <c r="W6" s="817"/>
      <c r="X6" s="817"/>
      <c r="Y6" s="817"/>
      <c r="Z6" s="817"/>
      <c r="AA6" s="817"/>
      <c r="AB6" s="817"/>
      <c r="AC6" s="817"/>
      <c r="AD6" s="817"/>
      <c r="AE6" s="817"/>
      <c r="AF6" s="817"/>
      <c r="AG6" s="817"/>
      <c r="AH6" s="817"/>
      <c r="AI6" s="817"/>
      <c r="AJ6" s="817"/>
      <c r="AK6" s="817"/>
      <c r="AL6" s="817"/>
      <c r="AM6" s="817"/>
      <c r="AN6" s="817"/>
      <c r="AO6" s="817"/>
      <c r="AP6" s="817"/>
      <c r="AQ6" s="817"/>
      <c r="AR6" s="817"/>
      <c r="AS6" s="817"/>
      <c r="AT6" s="817"/>
      <c r="AU6" s="817"/>
      <c r="AV6" s="817"/>
      <c r="AW6" s="817"/>
      <c r="AX6" s="817"/>
      <c r="AY6" s="817"/>
      <c r="AZ6" s="817"/>
      <c r="BA6" s="817"/>
      <c r="BB6" s="817"/>
      <c r="BC6" s="817"/>
      <c r="BD6" s="817"/>
      <c r="BE6" s="817"/>
      <c r="BF6" s="817"/>
      <c r="BG6" s="817"/>
      <c r="BH6" s="817"/>
      <c r="BI6" s="817"/>
      <c r="BJ6" s="817"/>
      <c r="BK6" s="817"/>
      <c r="BL6" s="817"/>
      <c r="BM6" s="817"/>
      <c r="BN6" s="817"/>
      <c r="BO6" s="817"/>
      <c r="BP6" s="817"/>
      <c r="BQ6" s="817"/>
      <c r="BR6" s="817"/>
      <c r="BS6" s="817"/>
      <c r="BT6" s="817"/>
      <c r="BU6" s="817"/>
      <c r="BV6" s="817"/>
      <c r="BW6" s="817"/>
      <c r="BX6" s="817"/>
      <c r="BY6" s="817"/>
      <c r="BZ6" s="817"/>
      <c r="CA6" s="817"/>
      <c r="CB6" s="817"/>
      <c r="CC6" s="817"/>
      <c r="CD6" s="817"/>
      <c r="CE6" s="817"/>
      <c r="CF6" s="817"/>
      <c r="CG6" s="817"/>
      <c r="CH6" s="817"/>
      <c r="CI6" s="817"/>
      <c r="CJ6" s="817"/>
      <c r="CK6" s="817"/>
      <c r="CL6" s="817"/>
      <c r="CM6" s="817"/>
      <c r="CN6" s="817"/>
      <c r="CO6" s="817"/>
      <c r="CP6" s="817"/>
      <c r="CQ6" s="817"/>
      <c r="CR6" s="817"/>
      <c r="CS6" s="817"/>
      <c r="CT6" s="817"/>
      <c r="CU6" s="817"/>
      <c r="CV6" s="817"/>
      <c r="CW6" s="817"/>
      <c r="CX6" s="817"/>
      <c r="CY6" s="817"/>
      <c r="CZ6" s="817"/>
      <c r="DA6" s="817"/>
      <c r="DB6" s="817"/>
      <c r="DC6" s="817"/>
      <c r="DD6" s="817"/>
      <c r="DE6" s="817"/>
      <c r="DF6" s="817"/>
      <c r="DG6" s="817"/>
      <c r="DH6" s="817"/>
      <c r="DI6" s="817"/>
      <c r="DJ6" s="817"/>
      <c r="DK6" s="817"/>
      <c r="DL6" s="817"/>
      <c r="DM6" s="817"/>
      <c r="DN6" s="817"/>
      <c r="DO6" s="817"/>
      <c r="DP6" s="817"/>
      <c r="DQ6" s="817"/>
      <c r="DR6" s="817"/>
      <c r="DS6" s="817"/>
      <c r="DT6" s="817"/>
      <c r="DU6" s="817"/>
      <c r="DV6" s="817"/>
      <c r="DW6" s="817"/>
      <c r="DX6" s="817"/>
      <c r="DY6" s="817"/>
      <c r="DZ6" s="817"/>
      <c r="EA6" s="817"/>
      <c r="EB6" s="817"/>
      <c r="EC6" s="817"/>
      <c r="ED6" s="817"/>
      <c r="EE6" s="817"/>
      <c r="EF6" s="817"/>
      <c r="EG6" s="817"/>
      <c r="EH6" s="817"/>
      <c r="EI6" s="817"/>
      <c r="EJ6" s="817"/>
      <c r="EK6" s="817"/>
      <c r="EL6" s="817"/>
      <c r="EM6" s="817"/>
      <c r="EN6" s="817"/>
      <c r="EO6" s="817"/>
      <c r="EP6" s="817"/>
      <c r="EQ6" s="817"/>
      <c r="ER6" s="817"/>
      <c r="ES6" s="817"/>
      <c r="ET6" s="817"/>
      <c r="EU6" s="817"/>
      <c r="EV6" s="817"/>
      <c r="EW6" s="817"/>
      <c r="EX6" s="817"/>
      <c r="EY6" s="817"/>
      <c r="EZ6" s="817"/>
      <c r="FA6" s="817"/>
      <c r="FB6" s="817"/>
      <c r="FC6" s="817"/>
      <c r="FD6" s="817"/>
      <c r="FE6" s="817"/>
      <c r="FF6" s="817"/>
      <c r="FG6" s="817"/>
      <c r="FH6" s="817"/>
      <c r="FI6" s="817"/>
      <c r="FJ6" s="817"/>
      <c r="FK6" s="817"/>
      <c r="FL6" s="818">
        <f t="shared" si="0"/>
        <v>0</v>
      </c>
      <c r="FM6" s="818">
        <f t="shared" si="1"/>
        <v>0</v>
      </c>
    </row>
    <row r="7" spans="1:169">
      <c r="A7" s="816" t="s">
        <v>1338</v>
      </c>
      <c r="B7" s="817"/>
      <c r="C7" s="817"/>
      <c r="D7" s="817"/>
      <c r="E7" s="817"/>
      <c r="F7" s="817"/>
      <c r="G7" s="817"/>
      <c r="H7" s="817"/>
      <c r="I7" s="817"/>
      <c r="J7" s="817"/>
      <c r="K7" s="817"/>
      <c r="L7" s="817"/>
      <c r="M7" s="817"/>
      <c r="N7" s="817"/>
      <c r="O7" s="817"/>
      <c r="P7" s="817"/>
      <c r="Q7" s="817"/>
      <c r="R7" s="817"/>
      <c r="S7" s="817"/>
      <c r="T7" s="817"/>
      <c r="U7" s="817"/>
      <c r="V7" s="817"/>
      <c r="W7" s="817"/>
      <c r="X7" s="817"/>
      <c r="Y7" s="817"/>
      <c r="Z7" s="817"/>
      <c r="AA7" s="817"/>
      <c r="AB7" s="817"/>
      <c r="AC7" s="817"/>
      <c r="AD7" s="817"/>
      <c r="AE7" s="817"/>
      <c r="AF7" s="817"/>
      <c r="AG7" s="817"/>
      <c r="AH7" s="817"/>
      <c r="AI7" s="817"/>
      <c r="AJ7" s="817"/>
      <c r="AK7" s="817"/>
      <c r="AL7" s="817"/>
      <c r="AM7" s="817"/>
      <c r="AN7" s="817"/>
      <c r="AO7" s="817"/>
      <c r="AP7" s="817"/>
      <c r="AQ7" s="817"/>
      <c r="AR7" s="817"/>
      <c r="AS7" s="817"/>
      <c r="AT7" s="817"/>
      <c r="AU7" s="817"/>
      <c r="AV7" s="817"/>
      <c r="AW7" s="817"/>
      <c r="AX7" s="817"/>
      <c r="AY7" s="817"/>
      <c r="AZ7" s="817"/>
      <c r="BA7" s="817"/>
      <c r="BB7" s="817"/>
      <c r="BC7" s="817"/>
      <c r="BD7" s="817"/>
      <c r="BE7" s="817"/>
      <c r="BF7" s="817"/>
      <c r="BG7" s="817"/>
      <c r="BH7" s="817"/>
      <c r="BI7" s="817"/>
      <c r="BJ7" s="817"/>
      <c r="BK7" s="817"/>
      <c r="BL7" s="817">
        <f>76.881+6987.25+307.086</f>
        <v>7371.2170000000006</v>
      </c>
      <c r="BM7" s="817">
        <f>76.881+6941.438+307.086</f>
        <v>7325.4050000000007</v>
      </c>
      <c r="BN7" s="817">
        <f>254.599+17426.987+1020.839</f>
        <v>18702.424999999999</v>
      </c>
      <c r="BO7" s="817">
        <f>254.599+17323.316+1020.839</f>
        <v>18598.753999999997</v>
      </c>
      <c r="BP7" s="817"/>
      <c r="BQ7" s="817"/>
      <c r="BR7" s="817"/>
      <c r="BS7" s="817"/>
      <c r="BT7" s="817"/>
      <c r="BU7" s="817"/>
      <c r="BV7" s="817"/>
      <c r="BW7" s="817"/>
      <c r="BX7" s="817"/>
      <c r="BY7" s="817"/>
      <c r="BZ7" s="817">
        <v>416.03500000000003</v>
      </c>
      <c r="CA7" s="817">
        <v>416.03500000000003</v>
      </c>
      <c r="CB7" s="817"/>
      <c r="CC7" s="817"/>
      <c r="CD7" s="817"/>
      <c r="CE7" s="817"/>
      <c r="CF7" s="817"/>
      <c r="CG7" s="817"/>
      <c r="CH7" s="817"/>
      <c r="CI7" s="817"/>
      <c r="CJ7" s="817"/>
      <c r="CK7" s="817"/>
      <c r="CL7" s="817"/>
      <c r="CM7" s="817"/>
      <c r="CN7" s="817"/>
      <c r="CO7" s="817"/>
      <c r="CP7" s="817"/>
      <c r="CQ7" s="817"/>
      <c r="CR7" s="817"/>
      <c r="CS7" s="817"/>
      <c r="CT7" s="817"/>
      <c r="CU7" s="817"/>
      <c r="CV7" s="817"/>
      <c r="CW7" s="817"/>
      <c r="CX7" s="817"/>
      <c r="CY7" s="817"/>
      <c r="CZ7" s="817"/>
      <c r="DA7" s="817"/>
      <c r="DB7" s="817"/>
      <c r="DC7" s="817"/>
      <c r="DD7" s="817"/>
      <c r="DE7" s="817"/>
      <c r="DF7" s="817"/>
      <c r="DG7" s="817"/>
      <c r="DH7" s="817"/>
      <c r="DI7" s="817"/>
      <c r="DJ7" s="817"/>
      <c r="DK7" s="817"/>
      <c r="DL7" s="817"/>
      <c r="DM7" s="817"/>
      <c r="DN7" s="817"/>
      <c r="DO7" s="817"/>
      <c r="DP7" s="817"/>
      <c r="DQ7" s="817"/>
      <c r="DR7" s="817"/>
      <c r="DS7" s="817"/>
      <c r="DT7" s="817"/>
      <c r="DU7" s="817"/>
      <c r="DV7" s="817"/>
      <c r="DW7" s="817"/>
      <c r="DX7" s="817"/>
      <c r="DY7" s="817"/>
      <c r="DZ7" s="817"/>
      <c r="EA7" s="817"/>
      <c r="EB7" s="817"/>
      <c r="EC7" s="817"/>
      <c r="ED7" s="817"/>
      <c r="EE7" s="817"/>
      <c r="EF7" s="817"/>
      <c r="EG7" s="817"/>
      <c r="EH7" s="817"/>
      <c r="EI7" s="817"/>
      <c r="EJ7" s="817"/>
      <c r="EK7" s="817"/>
      <c r="EL7" s="817"/>
      <c r="EM7" s="817"/>
      <c r="EN7" s="817"/>
      <c r="EO7" s="817"/>
      <c r="EP7" s="817"/>
      <c r="EQ7" s="817"/>
      <c r="ER7" s="817"/>
      <c r="ES7" s="817"/>
      <c r="ET7" s="817"/>
      <c r="EU7" s="817"/>
      <c r="EV7" s="817"/>
      <c r="EW7" s="817"/>
      <c r="EX7" s="817"/>
      <c r="EY7" s="817"/>
      <c r="EZ7" s="817"/>
      <c r="FA7" s="817"/>
      <c r="FB7" s="817"/>
      <c r="FC7" s="817"/>
      <c r="FD7" s="817"/>
      <c r="FE7" s="817"/>
      <c r="FF7" s="817"/>
      <c r="FG7" s="817"/>
      <c r="FH7" s="817"/>
      <c r="FI7" s="817"/>
      <c r="FJ7" s="817"/>
      <c r="FK7" s="817"/>
      <c r="FL7" s="818">
        <f t="shared" si="0"/>
        <v>26489.677</v>
      </c>
      <c r="FM7" s="818">
        <f t="shared" si="1"/>
        <v>26340.194</v>
      </c>
    </row>
    <row r="8" spans="1:169">
      <c r="A8" s="816" t="s">
        <v>1339</v>
      </c>
      <c r="B8" s="817"/>
      <c r="C8" s="817"/>
      <c r="D8" s="817"/>
      <c r="E8" s="817"/>
      <c r="F8" s="817"/>
      <c r="G8" s="817"/>
      <c r="H8" s="817"/>
      <c r="I8" s="817"/>
      <c r="J8" s="817"/>
      <c r="K8" s="817"/>
      <c r="L8" s="817"/>
      <c r="M8" s="817"/>
      <c r="N8" s="817"/>
      <c r="O8" s="817"/>
      <c r="P8" s="817"/>
      <c r="Q8" s="817"/>
      <c r="R8" s="817"/>
      <c r="S8" s="817"/>
      <c r="T8" s="817"/>
      <c r="U8" s="817"/>
      <c r="V8" s="817"/>
      <c r="W8" s="817"/>
      <c r="X8" s="817"/>
      <c r="Y8" s="817"/>
      <c r="Z8" s="817"/>
      <c r="AA8" s="817"/>
      <c r="AB8" s="817"/>
      <c r="AC8" s="817"/>
      <c r="AD8" s="817"/>
      <c r="AE8" s="817"/>
      <c r="AF8" s="817"/>
      <c r="AG8" s="817"/>
      <c r="AH8" s="817"/>
      <c r="AI8" s="817"/>
      <c r="AJ8" s="817"/>
      <c r="AK8" s="817"/>
      <c r="AL8" s="817"/>
      <c r="AM8" s="817"/>
      <c r="AN8" s="817"/>
      <c r="AO8" s="817"/>
      <c r="AP8" s="817"/>
      <c r="AQ8" s="817"/>
      <c r="AR8" s="817"/>
      <c r="AS8" s="817"/>
      <c r="AT8" s="817"/>
      <c r="AU8" s="817"/>
      <c r="AV8" s="817"/>
      <c r="AW8" s="817"/>
      <c r="AX8" s="817"/>
      <c r="AY8" s="817"/>
      <c r="AZ8" s="817"/>
      <c r="BA8" s="817"/>
      <c r="BB8" s="817"/>
      <c r="BC8" s="817"/>
      <c r="BD8" s="817"/>
      <c r="BE8" s="817"/>
      <c r="BF8" s="817"/>
      <c r="BG8" s="817"/>
      <c r="BH8" s="817"/>
      <c r="BI8" s="817"/>
      <c r="BJ8" s="817"/>
      <c r="BK8" s="817"/>
      <c r="BL8" s="817"/>
      <c r="BM8" s="817"/>
      <c r="BN8" s="817"/>
      <c r="BO8" s="817"/>
      <c r="BP8" s="817"/>
      <c r="BQ8" s="817"/>
      <c r="BR8" s="817"/>
      <c r="BS8" s="817"/>
      <c r="BT8" s="817"/>
      <c r="BU8" s="817"/>
      <c r="BV8" s="817"/>
      <c r="BW8" s="817"/>
      <c r="BX8" s="817"/>
      <c r="BY8" s="817"/>
      <c r="BZ8" s="817"/>
      <c r="CA8" s="817"/>
      <c r="CB8" s="817"/>
      <c r="CC8" s="817"/>
      <c r="CD8" s="817"/>
      <c r="CE8" s="817"/>
      <c r="CF8" s="817"/>
      <c r="CG8" s="817"/>
      <c r="CH8" s="817"/>
      <c r="CI8" s="817"/>
      <c r="CJ8" s="817"/>
      <c r="CK8" s="817"/>
      <c r="CL8" s="817"/>
      <c r="CM8" s="817"/>
      <c r="CN8" s="817"/>
      <c r="CO8" s="817"/>
      <c r="CP8" s="817"/>
      <c r="CQ8" s="817"/>
      <c r="CR8" s="817"/>
      <c r="CS8" s="817"/>
      <c r="CT8" s="817"/>
      <c r="CU8" s="817"/>
      <c r="CV8" s="817"/>
      <c r="CW8" s="817"/>
      <c r="CX8" s="817"/>
      <c r="CY8" s="817"/>
      <c r="CZ8" s="817"/>
      <c r="DA8" s="817"/>
      <c r="DB8" s="817"/>
      <c r="DC8" s="817"/>
      <c r="DD8" s="817"/>
      <c r="DE8" s="817"/>
      <c r="DF8" s="817"/>
      <c r="DG8" s="817"/>
      <c r="DH8" s="817"/>
      <c r="DI8" s="817"/>
      <c r="DJ8" s="817"/>
      <c r="DK8" s="817"/>
      <c r="DL8" s="817"/>
      <c r="DM8" s="817"/>
      <c r="DN8" s="817"/>
      <c r="DO8" s="817"/>
      <c r="DP8" s="817"/>
      <c r="DQ8" s="817"/>
      <c r="DR8" s="817"/>
      <c r="DS8" s="817"/>
      <c r="DT8" s="817"/>
      <c r="DU8" s="817"/>
      <c r="DV8" s="817"/>
      <c r="DW8" s="817"/>
      <c r="DX8" s="817"/>
      <c r="DY8" s="817"/>
      <c r="DZ8" s="817"/>
      <c r="EA8" s="817"/>
      <c r="EB8" s="817"/>
      <c r="EC8" s="817"/>
      <c r="ED8" s="817"/>
      <c r="EE8" s="817"/>
      <c r="EF8" s="817"/>
      <c r="EG8" s="817"/>
      <c r="EH8" s="817"/>
      <c r="EI8" s="817"/>
      <c r="EJ8" s="817"/>
      <c r="EK8" s="817"/>
      <c r="EL8" s="817"/>
      <c r="EM8" s="817"/>
      <c r="EN8" s="817"/>
      <c r="EO8" s="817"/>
      <c r="EP8" s="817"/>
      <c r="EQ8" s="817"/>
      <c r="ER8" s="817"/>
      <c r="ES8" s="817"/>
      <c r="ET8" s="817"/>
      <c r="EU8" s="817"/>
      <c r="EV8" s="817"/>
      <c r="EW8" s="817"/>
      <c r="EX8" s="817"/>
      <c r="EY8" s="817"/>
      <c r="EZ8" s="817"/>
      <c r="FA8" s="817"/>
      <c r="FB8" s="817"/>
      <c r="FC8" s="817"/>
      <c r="FD8" s="817"/>
      <c r="FE8" s="817"/>
      <c r="FF8" s="817"/>
      <c r="FG8" s="817"/>
      <c r="FH8" s="817"/>
      <c r="FI8" s="817"/>
      <c r="FJ8" s="817"/>
      <c r="FK8" s="817"/>
      <c r="FL8" s="818">
        <f t="shared" si="0"/>
        <v>0</v>
      </c>
      <c r="FM8" s="818">
        <f t="shared" si="1"/>
        <v>0</v>
      </c>
    </row>
    <row r="9" spans="1:169">
      <c r="A9" s="816" t="s">
        <v>1340</v>
      </c>
      <c r="B9" s="817"/>
      <c r="C9" s="817"/>
      <c r="D9" s="817"/>
      <c r="E9" s="817"/>
      <c r="F9" s="817"/>
      <c r="G9" s="817"/>
      <c r="H9" s="817"/>
      <c r="I9" s="817"/>
      <c r="J9" s="817"/>
      <c r="K9" s="817"/>
      <c r="L9" s="817"/>
      <c r="M9" s="817"/>
      <c r="N9" s="817"/>
      <c r="O9" s="817"/>
      <c r="P9" s="817"/>
      <c r="Q9" s="817"/>
      <c r="R9" s="817"/>
      <c r="S9" s="817"/>
      <c r="T9" s="817"/>
      <c r="U9" s="817"/>
      <c r="V9" s="817"/>
      <c r="W9" s="817"/>
      <c r="X9" s="817"/>
      <c r="Y9" s="817"/>
      <c r="Z9" s="817"/>
      <c r="AA9" s="817"/>
      <c r="AB9" s="817"/>
      <c r="AC9" s="817"/>
      <c r="AD9" s="817"/>
      <c r="AE9" s="817"/>
      <c r="AF9" s="817"/>
      <c r="AG9" s="817"/>
      <c r="AH9" s="817"/>
      <c r="AI9" s="817"/>
      <c r="AJ9" s="817"/>
      <c r="AK9" s="817"/>
      <c r="AL9" s="817"/>
      <c r="AM9" s="817"/>
      <c r="AN9" s="817"/>
      <c r="AO9" s="817"/>
      <c r="AP9" s="817"/>
      <c r="AQ9" s="817"/>
      <c r="AR9" s="817"/>
      <c r="AS9" s="817"/>
      <c r="AT9" s="817"/>
      <c r="AU9" s="817"/>
      <c r="AV9" s="817"/>
      <c r="AW9" s="817"/>
      <c r="AX9" s="817"/>
      <c r="AY9" s="817"/>
      <c r="AZ9" s="817"/>
      <c r="BA9" s="817"/>
      <c r="BB9" s="817"/>
      <c r="BC9" s="817"/>
      <c r="BD9" s="817"/>
      <c r="BE9" s="817"/>
      <c r="BF9" s="817"/>
      <c r="BG9" s="817"/>
      <c r="BH9" s="817"/>
      <c r="BI9" s="817"/>
      <c r="BJ9" s="817"/>
      <c r="BK9" s="817"/>
      <c r="BL9" s="817"/>
      <c r="BM9" s="817"/>
      <c r="BN9" s="817"/>
      <c r="BO9" s="817"/>
      <c r="BP9" s="817"/>
      <c r="BQ9" s="817"/>
      <c r="BR9" s="817"/>
      <c r="BS9" s="817"/>
      <c r="BT9" s="817"/>
      <c r="BU9" s="817"/>
      <c r="BV9" s="817"/>
      <c r="BW9" s="817"/>
      <c r="BX9" s="817"/>
      <c r="BY9" s="817"/>
      <c r="BZ9" s="817"/>
      <c r="CA9" s="817"/>
      <c r="CB9" s="817"/>
      <c r="CC9" s="817"/>
      <c r="CD9" s="817">
        <v>312.10000000000002</v>
      </c>
      <c r="CE9" s="817">
        <v>0</v>
      </c>
      <c r="CF9" s="817"/>
      <c r="CG9" s="817"/>
      <c r="CH9" s="817"/>
      <c r="CI9" s="817"/>
      <c r="CJ9" s="817"/>
      <c r="CK9" s="817"/>
      <c r="CL9" s="817"/>
      <c r="CM9" s="817"/>
      <c r="CN9" s="817"/>
      <c r="CO9" s="817"/>
      <c r="CP9" s="817"/>
      <c r="CQ9" s="817"/>
      <c r="CR9" s="817"/>
      <c r="CS9" s="817"/>
      <c r="CT9" s="817"/>
      <c r="CU9" s="817"/>
      <c r="CV9" s="817"/>
      <c r="CW9" s="817"/>
      <c r="CX9" s="817"/>
      <c r="CY9" s="817"/>
      <c r="CZ9" s="817"/>
      <c r="DA9" s="817"/>
      <c r="DB9" s="817"/>
      <c r="DC9" s="817"/>
      <c r="DD9" s="817"/>
      <c r="DE9" s="817"/>
      <c r="DF9" s="817"/>
      <c r="DG9" s="817"/>
      <c r="DH9" s="817"/>
      <c r="DI9" s="817"/>
      <c r="DJ9" s="817"/>
      <c r="DK9" s="817"/>
      <c r="DL9" s="817"/>
      <c r="DM9" s="817"/>
      <c r="DN9" s="817"/>
      <c r="DO9" s="817"/>
      <c r="DP9" s="817"/>
      <c r="DQ9" s="817"/>
      <c r="DR9" s="817"/>
      <c r="DS9" s="817"/>
      <c r="DT9" s="817"/>
      <c r="DU9" s="817"/>
      <c r="DV9" s="817"/>
      <c r="DW9" s="817"/>
      <c r="DX9" s="817"/>
      <c r="DY9" s="817"/>
      <c r="DZ9" s="817"/>
      <c r="EA9" s="817"/>
      <c r="EB9" s="817"/>
      <c r="EC9" s="817"/>
      <c r="ED9" s="817"/>
      <c r="EE9" s="817"/>
      <c r="EF9" s="817"/>
      <c r="EG9" s="817"/>
      <c r="EH9" s="817"/>
      <c r="EI9" s="817"/>
      <c r="EJ9" s="817"/>
      <c r="EK9" s="817"/>
      <c r="EL9" s="817"/>
      <c r="EM9" s="817"/>
      <c r="EN9" s="817"/>
      <c r="EO9" s="817"/>
      <c r="EP9" s="817"/>
      <c r="EQ9" s="817"/>
      <c r="ER9" s="817"/>
      <c r="ES9" s="817"/>
      <c r="ET9" s="817"/>
      <c r="EU9" s="817"/>
      <c r="EV9" s="817"/>
      <c r="EW9" s="817"/>
      <c r="EX9" s="817"/>
      <c r="EY9" s="817"/>
      <c r="EZ9" s="817"/>
      <c r="FA9" s="817"/>
      <c r="FB9" s="817"/>
      <c r="FC9" s="817"/>
      <c r="FD9" s="817"/>
      <c r="FE9" s="817"/>
      <c r="FF9" s="817"/>
      <c r="FG9" s="817"/>
      <c r="FH9" s="817"/>
      <c r="FI9" s="817"/>
      <c r="FJ9" s="817"/>
      <c r="FK9" s="817"/>
      <c r="FL9" s="818">
        <f t="shared" si="0"/>
        <v>312.10000000000002</v>
      </c>
      <c r="FM9" s="818">
        <f t="shared" si="1"/>
        <v>0</v>
      </c>
    </row>
    <row r="10" spans="1:169">
      <c r="A10" s="816" t="s">
        <v>1341</v>
      </c>
      <c r="B10" s="817">
        <f>38+3880.361</f>
        <v>3918.3609999999999</v>
      </c>
      <c r="C10" s="817">
        <f>38+3772.693</f>
        <v>3810.6930000000002</v>
      </c>
      <c r="D10" s="817"/>
      <c r="E10" s="817"/>
      <c r="F10" s="817"/>
      <c r="G10" s="817"/>
      <c r="H10" s="817"/>
      <c r="I10" s="817"/>
      <c r="J10" s="817"/>
      <c r="K10" s="817"/>
      <c r="L10" s="817"/>
      <c r="M10" s="817"/>
      <c r="N10" s="817"/>
      <c r="O10" s="817"/>
      <c r="P10" s="817"/>
      <c r="Q10" s="817"/>
      <c r="R10" s="817"/>
      <c r="S10" s="817"/>
      <c r="T10" s="817"/>
      <c r="U10" s="817"/>
      <c r="V10" s="817"/>
      <c r="W10" s="817"/>
      <c r="X10" s="817"/>
      <c r="Y10" s="817"/>
      <c r="Z10" s="817"/>
      <c r="AA10" s="817"/>
      <c r="AB10" s="817">
        <f>2424.1+3.472</f>
        <v>2427.5720000000001</v>
      </c>
      <c r="AC10" s="817">
        <f>2421.768+3.472</f>
        <v>2425.2400000000002</v>
      </c>
      <c r="AD10" s="817"/>
      <c r="AE10" s="817"/>
      <c r="AF10" s="817"/>
      <c r="AG10" s="817"/>
      <c r="AH10" s="817"/>
      <c r="AI10" s="817"/>
      <c r="AJ10" s="817"/>
      <c r="AK10" s="817"/>
      <c r="AL10" s="817"/>
      <c r="AM10" s="817"/>
      <c r="AN10" s="817">
        <v>1933.8230000000001</v>
      </c>
      <c r="AO10" s="817">
        <v>1928.8230000000001</v>
      </c>
      <c r="AP10" s="817"/>
      <c r="AQ10" s="817"/>
      <c r="AR10" s="817"/>
      <c r="AS10" s="817"/>
      <c r="AT10" s="817"/>
      <c r="AU10" s="817"/>
      <c r="AV10" s="817"/>
      <c r="AW10" s="817"/>
      <c r="AX10" s="817"/>
      <c r="AY10" s="817"/>
      <c r="AZ10" s="817"/>
      <c r="BA10" s="817"/>
      <c r="BB10" s="817"/>
      <c r="BC10" s="817"/>
      <c r="BD10" s="817"/>
      <c r="BE10" s="817"/>
      <c r="BF10" s="817"/>
      <c r="BG10" s="817"/>
      <c r="BH10" s="817"/>
      <c r="BI10" s="817"/>
      <c r="BJ10" s="817">
        <v>1</v>
      </c>
      <c r="BK10" s="817">
        <v>0</v>
      </c>
      <c r="BL10" s="817"/>
      <c r="BM10" s="817"/>
      <c r="BN10" s="817"/>
      <c r="BO10" s="817"/>
      <c r="BP10" s="817"/>
      <c r="BQ10" s="817"/>
      <c r="BR10" s="817"/>
      <c r="BS10" s="817"/>
      <c r="BT10" s="817">
        <f>23.946+4094.077+8754.7</f>
        <v>12872.723000000002</v>
      </c>
      <c r="BU10" s="817">
        <f>23.946+4094.077+8740.655</f>
        <v>12858.678</v>
      </c>
      <c r="BV10" s="817"/>
      <c r="BW10" s="817"/>
      <c r="BX10" s="817"/>
      <c r="BY10" s="817"/>
      <c r="BZ10" s="817">
        <v>43.113999999999997</v>
      </c>
      <c r="CA10" s="817">
        <v>43.113999999999997</v>
      </c>
      <c r="CB10" s="817"/>
      <c r="CC10" s="817"/>
      <c r="CD10" s="817"/>
      <c r="CE10" s="817"/>
      <c r="CF10" s="817">
        <v>910</v>
      </c>
      <c r="CG10" s="817">
        <v>910</v>
      </c>
      <c r="CH10" s="817">
        <f>87.205+15</f>
        <v>102.205</v>
      </c>
      <c r="CI10" s="817">
        <f>87.205+0</f>
        <v>87.204999999999998</v>
      </c>
      <c r="CJ10" s="817"/>
      <c r="CK10" s="817"/>
      <c r="CL10" s="817"/>
      <c r="CM10" s="817"/>
      <c r="CN10" s="817"/>
      <c r="CO10" s="817"/>
      <c r="CP10" s="817"/>
      <c r="CQ10" s="817"/>
      <c r="CR10" s="817">
        <v>226.166</v>
      </c>
      <c r="CS10" s="817">
        <v>226.166</v>
      </c>
      <c r="CT10" s="817"/>
      <c r="CU10" s="817"/>
      <c r="CV10" s="817"/>
      <c r="CW10" s="817"/>
      <c r="CX10" s="817"/>
      <c r="CY10" s="817"/>
      <c r="CZ10" s="817"/>
      <c r="DA10" s="817"/>
      <c r="DB10" s="817"/>
      <c r="DC10" s="817"/>
      <c r="DD10" s="817"/>
      <c r="DE10" s="817"/>
      <c r="DF10" s="817"/>
      <c r="DG10" s="817"/>
      <c r="DH10" s="817"/>
      <c r="DI10" s="817"/>
      <c r="DJ10" s="817"/>
      <c r="DK10" s="817"/>
      <c r="DL10" s="817"/>
      <c r="DM10" s="817"/>
      <c r="DN10" s="817"/>
      <c r="DO10" s="817"/>
      <c r="DP10" s="817"/>
      <c r="DQ10" s="817"/>
      <c r="DR10" s="817"/>
      <c r="DS10" s="817"/>
      <c r="DT10" s="817"/>
      <c r="DU10" s="817"/>
      <c r="DV10" s="817"/>
      <c r="DW10" s="817"/>
      <c r="DX10" s="817"/>
      <c r="DY10" s="817"/>
      <c r="DZ10" s="817"/>
      <c r="EA10" s="817"/>
      <c r="EB10" s="817"/>
      <c r="EC10" s="817"/>
      <c r="ED10" s="817"/>
      <c r="EE10" s="817"/>
      <c r="EF10" s="817"/>
      <c r="EG10" s="817"/>
      <c r="EH10" s="817"/>
      <c r="EI10" s="817"/>
      <c r="EJ10" s="817"/>
      <c r="EK10" s="817"/>
      <c r="EL10" s="817"/>
      <c r="EM10" s="817"/>
      <c r="EN10" s="817"/>
      <c r="EO10" s="817"/>
      <c r="EP10" s="817"/>
      <c r="EQ10" s="817"/>
      <c r="ER10" s="817"/>
      <c r="ES10" s="817"/>
      <c r="ET10" s="817"/>
      <c r="EU10" s="817"/>
      <c r="EV10" s="817"/>
      <c r="EW10" s="817"/>
      <c r="EX10" s="817"/>
      <c r="EY10" s="817"/>
      <c r="EZ10" s="817"/>
      <c r="FA10" s="817"/>
      <c r="FB10" s="817"/>
      <c r="FC10" s="817"/>
      <c r="FD10" s="817"/>
      <c r="FE10" s="817"/>
      <c r="FF10" s="817"/>
      <c r="FG10" s="817"/>
      <c r="FH10" s="817"/>
      <c r="FI10" s="817"/>
      <c r="FJ10" s="817"/>
      <c r="FK10" s="817"/>
      <c r="FL10" s="818">
        <f t="shared" si="0"/>
        <v>22434.964000000004</v>
      </c>
      <c r="FM10" s="818">
        <f t="shared" si="1"/>
        <v>22289.919000000005</v>
      </c>
    </row>
    <row r="11" spans="1:169">
      <c r="A11" s="816" t="s">
        <v>1342</v>
      </c>
      <c r="B11" s="817"/>
      <c r="C11" s="817"/>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7"/>
      <c r="AD11" s="817"/>
      <c r="AE11" s="817"/>
      <c r="AF11" s="817"/>
      <c r="AG11" s="817"/>
      <c r="AH11" s="817"/>
      <c r="AI11" s="817"/>
      <c r="AJ11" s="817"/>
      <c r="AK11" s="817"/>
      <c r="AL11" s="817"/>
      <c r="AM11" s="817"/>
      <c r="AN11" s="817"/>
      <c r="AO11" s="817"/>
      <c r="AP11" s="817"/>
      <c r="AQ11" s="817"/>
      <c r="AR11" s="817"/>
      <c r="AS11" s="817"/>
      <c r="AT11" s="817"/>
      <c r="AU11" s="817"/>
      <c r="AV11" s="817"/>
      <c r="AW11" s="817"/>
      <c r="AX11" s="817"/>
      <c r="AY11" s="817"/>
      <c r="AZ11" s="817"/>
      <c r="BA11" s="817"/>
      <c r="BB11" s="817"/>
      <c r="BC11" s="817"/>
      <c r="BD11" s="817"/>
      <c r="BE11" s="817"/>
      <c r="BF11" s="817"/>
      <c r="BG11" s="817"/>
      <c r="BH11" s="817"/>
      <c r="BI11" s="817"/>
      <c r="BJ11" s="817"/>
      <c r="BK11" s="817"/>
      <c r="BL11" s="817"/>
      <c r="BM11" s="817"/>
      <c r="BN11" s="817"/>
      <c r="BO11" s="817"/>
      <c r="BP11" s="817"/>
      <c r="BQ11" s="817"/>
      <c r="BR11" s="817"/>
      <c r="BS11" s="817"/>
      <c r="BT11" s="817"/>
      <c r="BU11" s="817"/>
      <c r="BV11" s="817"/>
      <c r="BW11" s="817"/>
      <c r="BX11" s="817"/>
      <c r="BY11" s="817"/>
      <c r="BZ11" s="817"/>
      <c r="CA11" s="817"/>
      <c r="CB11" s="817"/>
      <c r="CC11" s="817"/>
      <c r="CD11" s="817"/>
      <c r="CE11" s="817"/>
      <c r="CF11" s="817"/>
      <c r="CG11" s="817"/>
      <c r="CH11" s="817"/>
      <c r="CI11" s="817"/>
      <c r="CJ11" s="817"/>
      <c r="CK11" s="817"/>
      <c r="CL11" s="817"/>
      <c r="CM11" s="817"/>
      <c r="CN11" s="817"/>
      <c r="CO11" s="817"/>
      <c r="CP11" s="817"/>
      <c r="CQ11" s="817"/>
      <c r="CR11" s="817"/>
      <c r="CS11" s="817"/>
      <c r="CT11" s="817"/>
      <c r="CU11" s="817"/>
      <c r="CV11" s="817"/>
      <c r="CW11" s="817"/>
      <c r="CX11" s="817"/>
      <c r="CY11" s="817"/>
      <c r="CZ11" s="817"/>
      <c r="DA11" s="817"/>
      <c r="DB11" s="817"/>
      <c r="DC11" s="817"/>
      <c r="DD11" s="817"/>
      <c r="DE11" s="817"/>
      <c r="DF11" s="817"/>
      <c r="DG11" s="817"/>
      <c r="DH11" s="817"/>
      <c r="DI11" s="817"/>
      <c r="DJ11" s="817"/>
      <c r="DK11" s="817"/>
      <c r="DL11" s="817"/>
      <c r="DM11" s="817"/>
      <c r="DN11" s="817"/>
      <c r="DO11" s="817"/>
      <c r="DP11" s="817"/>
      <c r="DQ11" s="817"/>
      <c r="DR11" s="817"/>
      <c r="DS11" s="817"/>
      <c r="DT11" s="817"/>
      <c r="DU11" s="817"/>
      <c r="DV11" s="817"/>
      <c r="DW11" s="817"/>
      <c r="DX11" s="817"/>
      <c r="DY11" s="817"/>
      <c r="DZ11" s="817"/>
      <c r="EA11" s="817"/>
      <c r="EB11" s="817"/>
      <c r="EC11" s="817"/>
      <c r="ED11" s="817"/>
      <c r="EE11" s="817"/>
      <c r="EF11" s="817"/>
      <c r="EG11" s="817"/>
      <c r="EH11" s="817"/>
      <c r="EI11" s="817"/>
      <c r="EJ11" s="817"/>
      <c r="EK11" s="817"/>
      <c r="EL11" s="817"/>
      <c r="EM11" s="817"/>
      <c r="EN11" s="817"/>
      <c r="EO11" s="817"/>
      <c r="EP11" s="817"/>
      <c r="EQ11" s="817"/>
      <c r="ER11" s="817"/>
      <c r="ES11" s="817"/>
      <c r="ET11" s="817"/>
      <c r="EU11" s="817"/>
      <c r="EV11" s="817"/>
      <c r="EW11" s="817"/>
      <c r="EX11" s="817"/>
      <c r="EY11" s="817"/>
      <c r="EZ11" s="817"/>
      <c r="FA11" s="817"/>
      <c r="FB11" s="817"/>
      <c r="FC11" s="817"/>
      <c r="FD11" s="817"/>
      <c r="FE11" s="817"/>
      <c r="FF11" s="817"/>
      <c r="FG11" s="817"/>
      <c r="FH11" s="817"/>
      <c r="FI11" s="817"/>
      <c r="FJ11" s="817"/>
      <c r="FK11" s="817"/>
      <c r="FL11" s="818">
        <f t="shared" si="0"/>
        <v>0</v>
      </c>
      <c r="FM11" s="818">
        <f t="shared" si="1"/>
        <v>0</v>
      </c>
    </row>
    <row r="12" spans="1:169">
      <c r="A12" s="816" t="s">
        <v>1343</v>
      </c>
      <c r="B12" s="817"/>
      <c r="C12" s="817"/>
      <c r="D12" s="817"/>
      <c r="E12" s="817"/>
      <c r="F12" s="817"/>
      <c r="G12" s="817"/>
      <c r="H12" s="817"/>
      <c r="I12" s="817"/>
      <c r="J12" s="817"/>
      <c r="K12" s="817"/>
      <c r="L12" s="817"/>
      <c r="M12" s="817"/>
      <c r="N12" s="817"/>
      <c r="O12" s="817"/>
      <c r="P12" s="817"/>
      <c r="Q12" s="817"/>
      <c r="R12" s="817"/>
      <c r="S12" s="817"/>
      <c r="T12" s="817"/>
      <c r="U12" s="817"/>
      <c r="V12" s="817"/>
      <c r="W12" s="817"/>
      <c r="X12" s="817"/>
      <c r="Y12" s="817"/>
      <c r="Z12" s="817"/>
      <c r="AA12" s="817"/>
      <c r="AB12" s="817"/>
      <c r="AC12" s="817"/>
      <c r="AD12" s="817"/>
      <c r="AE12" s="817"/>
      <c r="AF12" s="817"/>
      <c r="AG12" s="817"/>
      <c r="AH12" s="817"/>
      <c r="AI12" s="817"/>
      <c r="AJ12" s="817"/>
      <c r="AK12" s="817"/>
      <c r="AL12" s="817"/>
      <c r="AM12" s="817"/>
      <c r="AN12" s="817"/>
      <c r="AO12" s="817"/>
      <c r="AP12" s="817"/>
      <c r="AQ12" s="817"/>
      <c r="AR12" s="817"/>
      <c r="AS12" s="817"/>
      <c r="AT12" s="817"/>
      <c r="AU12" s="817"/>
      <c r="AV12" s="817"/>
      <c r="AW12" s="817"/>
      <c r="AX12" s="817"/>
      <c r="AY12" s="817"/>
      <c r="AZ12" s="817"/>
      <c r="BA12" s="817"/>
      <c r="BB12" s="817"/>
      <c r="BC12" s="817"/>
      <c r="BD12" s="817"/>
      <c r="BE12" s="817"/>
      <c r="BF12" s="817"/>
      <c r="BG12" s="817"/>
      <c r="BH12" s="817"/>
      <c r="BI12" s="817"/>
      <c r="BJ12" s="817"/>
      <c r="BK12" s="817"/>
      <c r="BL12" s="817"/>
      <c r="BM12" s="817"/>
      <c r="BN12" s="817"/>
      <c r="BO12" s="817"/>
      <c r="BP12" s="817"/>
      <c r="BQ12" s="817"/>
      <c r="BR12" s="817"/>
      <c r="BS12" s="817"/>
      <c r="BT12" s="817"/>
      <c r="BU12" s="817"/>
      <c r="BV12" s="817"/>
      <c r="BW12" s="817"/>
      <c r="BX12" s="817"/>
      <c r="BY12" s="817"/>
      <c r="BZ12" s="817"/>
      <c r="CA12" s="817"/>
      <c r="CB12" s="817"/>
      <c r="CC12" s="817"/>
      <c r="CD12" s="817"/>
      <c r="CE12" s="817"/>
      <c r="CF12" s="817"/>
      <c r="CG12" s="817"/>
      <c r="CH12" s="817"/>
      <c r="CI12" s="817"/>
      <c r="CJ12" s="817"/>
      <c r="CK12" s="817"/>
      <c r="CL12" s="817"/>
      <c r="CM12" s="817"/>
      <c r="CN12" s="817"/>
      <c r="CO12" s="817"/>
      <c r="CP12" s="817"/>
      <c r="CQ12" s="817"/>
      <c r="CR12" s="817"/>
      <c r="CS12" s="817"/>
      <c r="CT12" s="817"/>
      <c r="CU12" s="817"/>
      <c r="CV12" s="817"/>
      <c r="CW12" s="817"/>
      <c r="CX12" s="817"/>
      <c r="CY12" s="817"/>
      <c r="CZ12" s="817"/>
      <c r="DA12" s="817"/>
      <c r="DB12" s="817"/>
      <c r="DC12" s="817"/>
      <c r="DD12" s="817"/>
      <c r="DE12" s="817"/>
      <c r="DF12" s="817"/>
      <c r="DG12" s="817"/>
      <c r="DH12" s="817"/>
      <c r="DI12" s="817"/>
      <c r="DJ12" s="817"/>
      <c r="DK12" s="817"/>
      <c r="DL12" s="817"/>
      <c r="DM12" s="817"/>
      <c r="DN12" s="817"/>
      <c r="DO12" s="817"/>
      <c r="DP12" s="817"/>
      <c r="DQ12" s="817"/>
      <c r="DR12" s="817"/>
      <c r="DS12" s="817"/>
      <c r="DT12" s="817"/>
      <c r="DU12" s="817"/>
      <c r="DV12" s="817"/>
      <c r="DW12" s="817"/>
      <c r="DX12" s="817"/>
      <c r="DY12" s="817"/>
      <c r="DZ12" s="817"/>
      <c r="EA12" s="817"/>
      <c r="EB12" s="817"/>
      <c r="EC12" s="817"/>
      <c r="ED12" s="817"/>
      <c r="EE12" s="817"/>
      <c r="EF12" s="817"/>
      <c r="EG12" s="817"/>
      <c r="EH12" s="817"/>
      <c r="EI12" s="817"/>
      <c r="EJ12" s="817"/>
      <c r="EK12" s="817"/>
      <c r="EL12" s="817"/>
      <c r="EM12" s="817"/>
      <c r="EN12" s="817"/>
      <c r="EO12" s="817"/>
      <c r="EP12" s="817"/>
      <c r="EQ12" s="817"/>
      <c r="ER12" s="817"/>
      <c r="ES12" s="817"/>
      <c r="ET12" s="817"/>
      <c r="EU12" s="817"/>
      <c r="EV12" s="817"/>
      <c r="EW12" s="817"/>
      <c r="EX12" s="817"/>
      <c r="EY12" s="817"/>
      <c r="EZ12" s="817"/>
      <c r="FA12" s="817"/>
      <c r="FB12" s="817"/>
      <c r="FC12" s="817"/>
      <c r="FD12" s="817"/>
      <c r="FE12" s="817"/>
      <c r="FF12" s="817"/>
      <c r="FG12" s="817"/>
      <c r="FH12" s="817"/>
      <c r="FI12" s="817"/>
      <c r="FJ12" s="817"/>
      <c r="FK12" s="817"/>
      <c r="FL12" s="818">
        <f t="shared" si="0"/>
        <v>0</v>
      </c>
      <c r="FM12" s="818">
        <f t="shared" si="1"/>
        <v>0</v>
      </c>
    </row>
    <row r="13" spans="1:169">
      <c r="A13" s="816" t="s">
        <v>1344</v>
      </c>
      <c r="B13" s="817"/>
      <c r="C13" s="817"/>
      <c r="D13" s="817"/>
      <c r="E13" s="817"/>
      <c r="F13" s="817"/>
      <c r="G13" s="817"/>
      <c r="H13" s="817"/>
      <c r="I13" s="817"/>
      <c r="J13" s="817"/>
      <c r="K13" s="817"/>
      <c r="L13" s="817">
        <v>1099.83</v>
      </c>
      <c r="M13" s="817">
        <v>1085.9449999999999</v>
      </c>
      <c r="N13" s="817"/>
      <c r="O13" s="817"/>
      <c r="P13" s="817"/>
      <c r="Q13" s="817"/>
      <c r="R13" s="817"/>
      <c r="S13" s="817"/>
      <c r="T13" s="817"/>
      <c r="U13" s="817"/>
      <c r="V13" s="817"/>
      <c r="W13" s="817"/>
      <c r="X13" s="817"/>
      <c r="Y13" s="817"/>
      <c r="Z13" s="817"/>
      <c r="AA13" s="817"/>
      <c r="AB13" s="817"/>
      <c r="AC13" s="817"/>
      <c r="AD13" s="817"/>
      <c r="AE13" s="817"/>
      <c r="AF13" s="817"/>
      <c r="AG13" s="817"/>
      <c r="AH13" s="817"/>
      <c r="AI13" s="817"/>
      <c r="AJ13" s="817"/>
      <c r="AK13" s="817"/>
      <c r="AL13" s="817"/>
      <c r="AM13" s="817"/>
      <c r="AN13" s="817"/>
      <c r="AO13" s="817"/>
      <c r="AP13" s="817"/>
      <c r="AQ13" s="817"/>
      <c r="AR13" s="817"/>
      <c r="AS13" s="817"/>
      <c r="AT13" s="817"/>
      <c r="AU13" s="817"/>
      <c r="AV13" s="817"/>
      <c r="AW13" s="817"/>
      <c r="AX13" s="817"/>
      <c r="AY13" s="817"/>
      <c r="AZ13" s="817"/>
      <c r="BA13" s="817"/>
      <c r="BB13" s="817"/>
      <c r="BC13" s="817"/>
      <c r="BD13" s="817"/>
      <c r="BE13" s="817"/>
      <c r="BF13" s="817"/>
      <c r="BG13" s="817"/>
      <c r="BH13" s="817"/>
      <c r="BI13" s="817"/>
      <c r="BJ13" s="817"/>
      <c r="BK13" s="817"/>
      <c r="BL13" s="817"/>
      <c r="BM13" s="817"/>
      <c r="BN13" s="817"/>
      <c r="BO13" s="817"/>
      <c r="BP13" s="817"/>
      <c r="BQ13" s="817"/>
      <c r="BR13" s="817"/>
      <c r="BS13" s="817"/>
      <c r="BT13" s="817"/>
      <c r="BU13" s="817"/>
      <c r="BV13" s="817"/>
      <c r="BW13" s="817"/>
      <c r="BX13" s="817"/>
      <c r="BY13" s="817"/>
      <c r="BZ13" s="817"/>
      <c r="CA13" s="817"/>
      <c r="CB13" s="817"/>
      <c r="CC13" s="817"/>
      <c r="CD13" s="817"/>
      <c r="CE13" s="817"/>
      <c r="CF13" s="817"/>
      <c r="CG13" s="817"/>
      <c r="CH13" s="817"/>
      <c r="CI13" s="817"/>
      <c r="CJ13" s="817"/>
      <c r="CK13" s="817"/>
      <c r="CL13" s="817"/>
      <c r="CM13" s="817"/>
      <c r="CN13" s="817"/>
      <c r="CO13" s="817"/>
      <c r="CP13" s="817"/>
      <c r="CQ13" s="817"/>
      <c r="CR13" s="817"/>
      <c r="CS13" s="817"/>
      <c r="CT13" s="817"/>
      <c r="CU13" s="817"/>
      <c r="CV13" s="817"/>
      <c r="CW13" s="817"/>
      <c r="CX13" s="817"/>
      <c r="CY13" s="817"/>
      <c r="CZ13" s="817"/>
      <c r="DA13" s="817"/>
      <c r="DB13" s="817"/>
      <c r="DC13" s="817"/>
      <c r="DD13" s="817"/>
      <c r="DE13" s="817"/>
      <c r="DF13" s="817"/>
      <c r="DG13" s="817"/>
      <c r="DH13" s="817"/>
      <c r="DI13" s="817"/>
      <c r="DJ13" s="817"/>
      <c r="DK13" s="817"/>
      <c r="DL13" s="817"/>
      <c r="DM13" s="817"/>
      <c r="DN13" s="817"/>
      <c r="DO13" s="817"/>
      <c r="DP13" s="817"/>
      <c r="DQ13" s="817"/>
      <c r="DR13" s="817"/>
      <c r="DS13" s="817"/>
      <c r="DT13" s="817"/>
      <c r="DU13" s="817"/>
      <c r="DV13" s="817"/>
      <c r="DW13" s="817"/>
      <c r="DX13" s="817"/>
      <c r="DY13" s="817"/>
      <c r="DZ13" s="817"/>
      <c r="EA13" s="817"/>
      <c r="EB13" s="817"/>
      <c r="EC13" s="817"/>
      <c r="ED13" s="817"/>
      <c r="EE13" s="817"/>
      <c r="EF13" s="817"/>
      <c r="EG13" s="817"/>
      <c r="EH13" s="817"/>
      <c r="EI13" s="817"/>
      <c r="EJ13" s="817"/>
      <c r="EK13" s="817"/>
      <c r="EL13" s="817"/>
      <c r="EM13" s="817"/>
      <c r="EN13" s="817"/>
      <c r="EO13" s="817"/>
      <c r="EP13" s="817"/>
      <c r="EQ13" s="817"/>
      <c r="ER13" s="817"/>
      <c r="ES13" s="817"/>
      <c r="ET13" s="817"/>
      <c r="EU13" s="817"/>
      <c r="EV13" s="817"/>
      <c r="EW13" s="817"/>
      <c r="EX13" s="817"/>
      <c r="EY13" s="817"/>
      <c r="EZ13" s="817"/>
      <c r="FA13" s="817"/>
      <c r="FB13" s="817"/>
      <c r="FC13" s="817"/>
      <c r="FD13" s="817"/>
      <c r="FE13" s="817"/>
      <c r="FF13" s="817"/>
      <c r="FG13" s="817"/>
      <c r="FH13" s="817"/>
      <c r="FI13" s="817"/>
      <c r="FJ13" s="817"/>
      <c r="FK13" s="817"/>
      <c r="FL13" s="818">
        <f t="shared" si="0"/>
        <v>1099.83</v>
      </c>
      <c r="FM13" s="818">
        <f t="shared" si="1"/>
        <v>1085.9449999999999</v>
      </c>
    </row>
    <row r="14" spans="1:169">
      <c r="A14" s="816" t="s">
        <v>1373</v>
      </c>
      <c r="B14" s="817"/>
      <c r="C14" s="817"/>
      <c r="D14" s="817"/>
      <c r="E14" s="817"/>
      <c r="F14" s="817"/>
      <c r="G14" s="817"/>
      <c r="H14" s="817"/>
      <c r="I14" s="817"/>
      <c r="J14" s="817"/>
      <c r="K14" s="817"/>
      <c r="L14" s="817">
        <v>30.027999999999999</v>
      </c>
      <c r="M14" s="817">
        <v>30.027999999999999</v>
      </c>
      <c r="N14" s="817"/>
      <c r="O14" s="817"/>
      <c r="P14" s="817"/>
      <c r="Q14" s="817"/>
      <c r="R14" s="817"/>
      <c r="S14" s="817"/>
      <c r="T14" s="817"/>
      <c r="U14" s="817"/>
      <c r="V14" s="817"/>
      <c r="W14" s="817"/>
      <c r="X14" s="817"/>
      <c r="Y14" s="817"/>
      <c r="Z14" s="817"/>
      <c r="AA14" s="817"/>
      <c r="AB14" s="817"/>
      <c r="AC14" s="817"/>
      <c r="AD14" s="817"/>
      <c r="AE14" s="817"/>
      <c r="AF14" s="817"/>
      <c r="AG14" s="817"/>
      <c r="AH14" s="817"/>
      <c r="AI14" s="817"/>
      <c r="AJ14" s="817"/>
      <c r="AK14" s="817"/>
      <c r="AL14" s="817"/>
      <c r="AM14" s="817"/>
      <c r="AN14" s="817"/>
      <c r="AO14" s="817"/>
      <c r="AP14" s="817"/>
      <c r="AQ14" s="817"/>
      <c r="AR14" s="817"/>
      <c r="AS14" s="817"/>
      <c r="AT14" s="817"/>
      <c r="AU14" s="817"/>
      <c r="AV14" s="817"/>
      <c r="AW14" s="817"/>
      <c r="AX14" s="817"/>
      <c r="AY14" s="817"/>
      <c r="AZ14" s="817"/>
      <c r="BA14" s="817"/>
      <c r="BB14" s="817"/>
      <c r="BC14" s="817"/>
      <c r="BD14" s="817"/>
      <c r="BE14" s="817"/>
      <c r="BF14" s="817"/>
      <c r="BG14" s="817"/>
      <c r="BH14" s="817"/>
      <c r="BI14" s="817"/>
      <c r="BJ14" s="817"/>
      <c r="BK14" s="817"/>
      <c r="BL14" s="817"/>
      <c r="BM14" s="817"/>
      <c r="BN14" s="817"/>
      <c r="BO14" s="817"/>
      <c r="BP14" s="817"/>
      <c r="BQ14" s="817"/>
      <c r="BR14" s="817"/>
      <c r="BS14" s="817"/>
      <c r="BT14" s="817"/>
      <c r="BU14" s="817"/>
      <c r="BV14" s="817"/>
      <c r="BW14" s="817"/>
      <c r="BX14" s="817"/>
      <c r="BY14" s="817"/>
      <c r="BZ14" s="817"/>
      <c r="CA14" s="817"/>
      <c r="CB14" s="817"/>
      <c r="CC14" s="817"/>
      <c r="CD14" s="817"/>
      <c r="CE14" s="817"/>
      <c r="CF14" s="817"/>
      <c r="CG14" s="817"/>
      <c r="CH14" s="817"/>
      <c r="CI14" s="817"/>
      <c r="CJ14" s="817"/>
      <c r="CK14" s="817"/>
      <c r="CL14" s="817"/>
      <c r="CM14" s="817"/>
      <c r="CN14" s="817"/>
      <c r="CO14" s="817"/>
      <c r="CP14" s="817"/>
      <c r="CQ14" s="817"/>
      <c r="CR14" s="817"/>
      <c r="CS14" s="817"/>
      <c r="CT14" s="817"/>
      <c r="CU14" s="817"/>
      <c r="CV14" s="817"/>
      <c r="CW14" s="817"/>
      <c r="CX14" s="817"/>
      <c r="CY14" s="817"/>
      <c r="CZ14" s="817"/>
      <c r="DA14" s="817"/>
      <c r="DB14" s="817"/>
      <c r="DC14" s="817"/>
      <c r="DD14" s="817"/>
      <c r="DE14" s="817"/>
      <c r="DF14" s="817"/>
      <c r="DG14" s="817"/>
      <c r="DH14" s="817"/>
      <c r="DI14" s="817"/>
      <c r="DJ14" s="817"/>
      <c r="DK14" s="817"/>
      <c r="DL14" s="817"/>
      <c r="DM14" s="817"/>
      <c r="DN14" s="817"/>
      <c r="DO14" s="817"/>
      <c r="DP14" s="817"/>
      <c r="DQ14" s="817"/>
      <c r="DR14" s="817"/>
      <c r="DS14" s="817"/>
      <c r="DT14" s="817"/>
      <c r="DU14" s="817"/>
      <c r="DV14" s="817"/>
      <c r="DW14" s="817"/>
      <c r="DX14" s="817"/>
      <c r="DY14" s="817"/>
      <c r="DZ14" s="817"/>
      <c r="EA14" s="817"/>
      <c r="EB14" s="817"/>
      <c r="EC14" s="817"/>
      <c r="ED14" s="817"/>
      <c r="EE14" s="817"/>
      <c r="EF14" s="817"/>
      <c r="EG14" s="817"/>
      <c r="EH14" s="817"/>
      <c r="EI14" s="817"/>
      <c r="EJ14" s="817"/>
      <c r="EK14" s="817"/>
      <c r="EL14" s="817"/>
      <c r="EM14" s="817"/>
      <c r="EN14" s="817"/>
      <c r="EO14" s="817"/>
      <c r="EP14" s="817"/>
      <c r="EQ14" s="817"/>
      <c r="ER14" s="817"/>
      <c r="ES14" s="817"/>
      <c r="ET14" s="817"/>
      <c r="EU14" s="817"/>
      <c r="EV14" s="817"/>
      <c r="EW14" s="817"/>
      <c r="EX14" s="817"/>
      <c r="EY14" s="817"/>
      <c r="EZ14" s="817"/>
      <c r="FA14" s="817"/>
      <c r="FB14" s="817"/>
      <c r="FC14" s="817"/>
      <c r="FD14" s="817"/>
      <c r="FE14" s="817"/>
      <c r="FF14" s="817"/>
      <c r="FG14" s="817"/>
      <c r="FH14" s="817"/>
      <c r="FI14" s="817"/>
      <c r="FJ14" s="817"/>
      <c r="FK14" s="817"/>
      <c r="FL14" s="818">
        <f t="shared" si="0"/>
        <v>30.027999999999999</v>
      </c>
      <c r="FM14" s="818">
        <f t="shared" si="1"/>
        <v>30.027999999999999</v>
      </c>
    </row>
    <row r="15" spans="1:169">
      <c r="A15" s="816" t="s">
        <v>1346</v>
      </c>
      <c r="B15" s="817"/>
      <c r="C15" s="817"/>
      <c r="D15" s="817"/>
      <c r="E15" s="817"/>
      <c r="F15" s="817"/>
      <c r="G15" s="817"/>
      <c r="H15" s="817"/>
      <c r="I15" s="817"/>
      <c r="J15" s="817"/>
      <c r="K15" s="817"/>
      <c r="L15" s="817"/>
      <c r="M15" s="817"/>
      <c r="N15" s="817"/>
      <c r="O15" s="817"/>
      <c r="P15" s="817"/>
      <c r="Q15" s="817"/>
      <c r="R15" s="817"/>
      <c r="S15" s="817"/>
      <c r="T15" s="817"/>
      <c r="U15" s="817"/>
      <c r="V15" s="817"/>
      <c r="W15" s="817"/>
      <c r="X15" s="817"/>
      <c r="Y15" s="817"/>
      <c r="Z15" s="817"/>
      <c r="AA15" s="817"/>
      <c r="AB15" s="817"/>
      <c r="AC15" s="817"/>
      <c r="AD15" s="817"/>
      <c r="AE15" s="817"/>
      <c r="AF15" s="817"/>
      <c r="AG15" s="817"/>
      <c r="AH15" s="817"/>
      <c r="AI15" s="817"/>
      <c r="AJ15" s="817">
        <v>292.976</v>
      </c>
      <c r="AK15" s="817">
        <v>284.976</v>
      </c>
      <c r="AL15" s="817"/>
      <c r="AM15" s="817"/>
      <c r="AN15" s="817"/>
      <c r="AO15" s="817"/>
      <c r="AP15" s="817"/>
      <c r="AQ15" s="817"/>
      <c r="AR15" s="817"/>
      <c r="AS15" s="817"/>
      <c r="AT15" s="817"/>
      <c r="AU15" s="817"/>
      <c r="AV15" s="817"/>
      <c r="AW15" s="817"/>
      <c r="AX15" s="817"/>
      <c r="AY15" s="817"/>
      <c r="AZ15" s="817"/>
      <c r="BA15" s="817"/>
      <c r="BB15" s="817"/>
      <c r="BC15" s="817"/>
      <c r="BD15" s="817"/>
      <c r="BE15" s="817"/>
      <c r="BF15" s="817"/>
      <c r="BG15" s="817"/>
      <c r="BH15" s="817"/>
      <c r="BI15" s="817"/>
      <c r="BJ15" s="817"/>
      <c r="BK15" s="817"/>
      <c r="BL15" s="817"/>
      <c r="BM15" s="817"/>
      <c r="BN15" s="817"/>
      <c r="BO15" s="817"/>
      <c r="BP15" s="817"/>
      <c r="BQ15" s="817"/>
      <c r="BR15" s="817"/>
      <c r="BS15" s="817"/>
      <c r="BT15" s="817"/>
      <c r="BU15" s="817"/>
      <c r="BV15" s="817"/>
      <c r="BW15" s="817"/>
      <c r="BX15" s="817"/>
      <c r="BY15" s="817"/>
      <c r="BZ15" s="817"/>
      <c r="CA15" s="817"/>
      <c r="CB15" s="817"/>
      <c r="CC15" s="817"/>
      <c r="CD15" s="817"/>
      <c r="CE15" s="817"/>
      <c r="CF15" s="817"/>
      <c r="CG15" s="817"/>
      <c r="CH15" s="817"/>
      <c r="CI15" s="817"/>
      <c r="CJ15" s="817"/>
      <c r="CK15" s="817"/>
      <c r="CL15" s="817"/>
      <c r="CM15" s="817"/>
      <c r="CN15" s="817"/>
      <c r="CO15" s="817"/>
      <c r="CP15" s="817"/>
      <c r="CQ15" s="817"/>
      <c r="CR15" s="817"/>
      <c r="CS15" s="817"/>
      <c r="CT15" s="817"/>
      <c r="CU15" s="817"/>
      <c r="CV15" s="817"/>
      <c r="CW15" s="817"/>
      <c r="CX15" s="817"/>
      <c r="CY15" s="817"/>
      <c r="CZ15" s="817"/>
      <c r="DA15" s="817"/>
      <c r="DB15" s="817"/>
      <c r="DC15" s="817"/>
      <c r="DD15" s="817"/>
      <c r="DE15" s="817"/>
      <c r="DF15" s="817"/>
      <c r="DG15" s="817"/>
      <c r="DH15" s="817"/>
      <c r="DI15" s="817"/>
      <c r="DJ15" s="817"/>
      <c r="DK15" s="817"/>
      <c r="DL15" s="817"/>
      <c r="DM15" s="817"/>
      <c r="DN15" s="817"/>
      <c r="DO15" s="817"/>
      <c r="DP15" s="817"/>
      <c r="DQ15" s="817"/>
      <c r="DR15" s="817"/>
      <c r="DS15" s="817"/>
      <c r="DT15" s="817"/>
      <c r="DU15" s="817"/>
      <c r="DV15" s="817"/>
      <c r="DW15" s="817"/>
      <c r="DX15" s="817"/>
      <c r="DY15" s="817"/>
      <c r="DZ15" s="817"/>
      <c r="EA15" s="817"/>
      <c r="EB15" s="817"/>
      <c r="EC15" s="817"/>
      <c r="ED15" s="817"/>
      <c r="EE15" s="817"/>
      <c r="EF15" s="817"/>
      <c r="EG15" s="817"/>
      <c r="EH15" s="817"/>
      <c r="EI15" s="817"/>
      <c r="EJ15" s="817"/>
      <c r="EK15" s="817"/>
      <c r="EL15" s="817"/>
      <c r="EM15" s="817"/>
      <c r="EN15" s="817"/>
      <c r="EO15" s="817"/>
      <c r="EP15" s="817"/>
      <c r="EQ15" s="817"/>
      <c r="ER15" s="817"/>
      <c r="ES15" s="817"/>
      <c r="ET15" s="817"/>
      <c r="EU15" s="817"/>
      <c r="EV15" s="817"/>
      <c r="EW15" s="817"/>
      <c r="EX15" s="817"/>
      <c r="EY15" s="817"/>
      <c r="EZ15" s="817"/>
      <c r="FA15" s="817"/>
      <c r="FB15" s="817"/>
      <c r="FC15" s="817"/>
      <c r="FD15" s="817"/>
      <c r="FE15" s="817"/>
      <c r="FF15" s="817"/>
      <c r="FG15" s="817"/>
      <c r="FH15" s="817"/>
      <c r="FI15" s="817"/>
      <c r="FJ15" s="817"/>
      <c r="FK15" s="817"/>
      <c r="FL15" s="818">
        <f t="shared" si="0"/>
        <v>292.976</v>
      </c>
      <c r="FM15" s="818">
        <f t="shared" si="1"/>
        <v>284.976</v>
      </c>
    </row>
    <row r="16" spans="1:169">
      <c r="A16" s="816" t="s">
        <v>1347</v>
      </c>
      <c r="B16" s="817"/>
      <c r="C16" s="817"/>
      <c r="D16" s="817"/>
      <c r="E16" s="817"/>
      <c r="F16" s="817"/>
      <c r="G16" s="817"/>
      <c r="H16" s="817"/>
      <c r="I16" s="817"/>
      <c r="J16" s="817"/>
      <c r="K16" s="817"/>
      <c r="L16" s="817"/>
      <c r="M16" s="817"/>
      <c r="N16" s="817"/>
      <c r="O16" s="817"/>
      <c r="P16" s="817"/>
      <c r="Q16" s="817"/>
      <c r="R16" s="817"/>
      <c r="S16" s="817"/>
      <c r="T16" s="817"/>
      <c r="U16" s="817"/>
      <c r="V16" s="817"/>
      <c r="W16" s="817"/>
      <c r="X16" s="817"/>
      <c r="Y16" s="817"/>
      <c r="Z16" s="817"/>
      <c r="AA16" s="817"/>
      <c r="AB16" s="817"/>
      <c r="AC16" s="817"/>
      <c r="AD16" s="817"/>
      <c r="AE16" s="817"/>
      <c r="AF16" s="817"/>
      <c r="AG16" s="817"/>
      <c r="AH16" s="817">
        <v>475.53100000000001</v>
      </c>
      <c r="AI16" s="817">
        <v>475.53100000000001</v>
      </c>
      <c r="AJ16" s="817"/>
      <c r="AK16" s="817"/>
      <c r="AL16" s="817"/>
      <c r="AM16" s="817"/>
      <c r="AN16" s="817"/>
      <c r="AO16" s="817"/>
      <c r="AP16" s="817"/>
      <c r="AQ16" s="817"/>
      <c r="AR16" s="817"/>
      <c r="AS16" s="817"/>
      <c r="AT16" s="817"/>
      <c r="AU16" s="817"/>
      <c r="AV16" s="817"/>
      <c r="AW16" s="817"/>
      <c r="AX16" s="817"/>
      <c r="AY16" s="817"/>
      <c r="AZ16" s="817"/>
      <c r="BA16" s="817"/>
      <c r="BB16" s="817"/>
      <c r="BC16" s="817"/>
      <c r="BD16" s="817"/>
      <c r="BE16" s="817"/>
      <c r="BF16" s="817"/>
      <c r="BG16" s="817"/>
      <c r="BH16" s="817"/>
      <c r="BI16" s="817"/>
      <c r="BJ16" s="817"/>
      <c r="BK16" s="817"/>
      <c r="BL16" s="817"/>
      <c r="BM16" s="817"/>
      <c r="BN16" s="817"/>
      <c r="BO16" s="817"/>
      <c r="BP16" s="817"/>
      <c r="BQ16" s="817"/>
      <c r="BR16" s="817"/>
      <c r="BS16" s="817"/>
      <c r="BT16" s="817"/>
      <c r="BU16" s="817"/>
      <c r="BV16" s="817"/>
      <c r="BW16" s="817"/>
      <c r="BX16" s="817"/>
      <c r="BY16" s="817"/>
      <c r="BZ16" s="817"/>
      <c r="CA16" s="817"/>
      <c r="CB16" s="817"/>
      <c r="CC16" s="817"/>
      <c r="CD16" s="817"/>
      <c r="CE16" s="817"/>
      <c r="CF16" s="817"/>
      <c r="CG16" s="817"/>
      <c r="CH16" s="817"/>
      <c r="CI16" s="817"/>
      <c r="CJ16" s="817"/>
      <c r="CK16" s="817"/>
      <c r="CL16" s="817"/>
      <c r="CM16" s="817"/>
      <c r="CN16" s="817"/>
      <c r="CO16" s="817"/>
      <c r="CP16" s="817"/>
      <c r="CQ16" s="817"/>
      <c r="CR16" s="817"/>
      <c r="CS16" s="817"/>
      <c r="CT16" s="817"/>
      <c r="CU16" s="817"/>
      <c r="CV16" s="817"/>
      <c r="CW16" s="817"/>
      <c r="CX16" s="817"/>
      <c r="CY16" s="817"/>
      <c r="CZ16" s="817"/>
      <c r="DA16" s="817"/>
      <c r="DB16" s="817"/>
      <c r="DC16" s="817"/>
      <c r="DD16" s="817"/>
      <c r="DE16" s="817"/>
      <c r="DF16" s="817"/>
      <c r="DG16" s="817"/>
      <c r="DH16" s="817"/>
      <c r="DI16" s="817"/>
      <c r="DJ16" s="817"/>
      <c r="DK16" s="817"/>
      <c r="DL16" s="817"/>
      <c r="DM16" s="817"/>
      <c r="DN16" s="817"/>
      <c r="DO16" s="817"/>
      <c r="DP16" s="817"/>
      <c r="DQ16" s="817"/>
      <c r="DR16" s="817"/>
      <c r="DS16" s="817"/>
      <c r="DT16" s="817"/>
      <c r="DU16" s="817"/>
      <c r="DV16" s="817"/>
      <c r="DW16" s="817"/>
      <c r="DX16" s="817"/>
      <c r="DY16" s="817"/>
      <c r="DZ16" s="817"/>
      <c r="EA16" s="817"/>
      <c r="EB16" s="817"/>
      <c r="EC16" s="817"/>
      <c r="ED16" s="817"/>
      <c r="EE16" s="817"/>
      <c r="EF16" s="817"/>
      <c r="EG16" s="817"/>
      <c r="EH16" s="817"/>
      <c r="EI16" s="817"/>
      <c r="EJ16" s="817"/>
      <c r="EK16" s="817"/>
      <c r="EL16" s="817"/>
      <c r="EM16" s="817"/>
      <c r="EN16" s="817"/>
      <c r="EO16" s="817"/>
      <c r="EP16" s="817"/>
      <c r="EQ16" s="817"/>
      <c r="ER16" s="817"/>
      <c r="ES16" s="817"/>
      <c r="ET16" s="817"/>
      <c r="EU16" s="817"/>
      <c r="EV16" s="817"/>
      <c r="EW16" s="817"/>
      <c r="EX16" s="817"/>
      <c r="EY16" s="817"/>
      <c r="EZ16" s="817"/>
      <c r="FA16" s="817"/>
      <c r="FB16" s="817"/>
      <c r="FC16" s="817"/>
      <c r="FD16" s="817"/>
      <c r="FE16" s="817"/>
      <c r="FF16" s="817"/>
      <c r="FG16" s="817"/>
      <c r="FH16" s="817"/>
      <c r="FI16" s="817"/>
      <c r="FJ16" s="817"/>
      <c r="FK16" s="817"/>
      <c r="FL16" s="818">
        <f t="shared" si="0"/>
        <v>475.53100000000001</v>
      </c>
      <c r="FM16" s="818">
        <f t="shared" si="1"/>
        <v>475.53100000000001</v>
      </c>
    </row>
    <row r="17" spans="1:169">
      <c r="A17" s="816" t="s">
        <v>1348</v>
      </c>
      <c r="B17" s="817"/>
      <c r="C17" s="817"/>
      <c r="D17" s="817"/>
      <c r="E17" s="817"/>
      <c r="F17" s="817"/>
      <c r="G17" s="817"/>
      <c r="H17" s="817">
        <v>4500</v>
      </c>
      <c r="I17" s="817">
        <v>4500</v>
      </c>
      <c r="J17" s="817">
        <v>2567.0970000000002</v>
      </c>
      <c r="K17" s="817">
        <v>2566.7809999999999</v>
      </c>
      <c r="L17" s="817"/>
      <c r="M17" s="817"/>
      <c r="N17" s="817"/>
      <c r="O17" s="817"/>
      <c r="P17" s="817"/>
      <c r="Q17" s="817"/>
      <c r="R17" s="817"/>
      <c r="S17" s="817"/>
      <c r="T17" s="817"/>
      <c r="U17" s="817"/>
      <c r="V17" s="817"/>
      <c r="W17" s="817"/>
      <c r="X17" s="817"/>
      <c r="Y17" s="817"/>
      <c r="Z17" s="817"/>
      <c r="AA17" s="817"/>
      <c r="AB17" s="817"/>
      <c r="AC17" s="817"/>
      <c r="AD17" s="817"/>
      <c r="AE17" s="817"/>
      <c r="AF17" s="817"/>
      <c r="AG17" s="817"/>
      <c r="AH17" s="817"/>
      <c r="AI17" s="817"/>
      <c r="AJ17" s="817"/>
      <c r="AK17" s="817"/>
      <c r="AL17" s="817"/>
      <c r="AM17" s="817"/>
      <c r="AN17" s="817"/>
      <c r="AO17" s="817"/>
      <c r="AP17" s="817"/>
      <c r="AQ17" s="817"/>
      <c r="AR17" s="817"/>
      <c r="AS17" s="817"/>
      <c r="AT17" s="817"/>
      <c r="AU17" s="817"/>
      <c r="AV17" s="817"/>
      <c r="AW17" s="817"/>
      <c r="AX17" s="817"/>
      <c r="AY17" s="817"/>
      <c r="AZ17" s="817"/>
      <c r="BA17" s="817"/>
      <c r="BB17" s="817"/>
      <c r="BC17" s="817"/>
      <c r="BD17" s="817"/>
      <c r="BE17" s="817"/>
      <c r="BF17" s="817"/>
      <c r="BG17" s="817"/>
      <c r="BH17" s="817"/>
      <c r="BI17" s="817"/>
      <c r="BJ17" s="817"/>
      <c r="BK17" s="817"/>
      <c r="BL17" s="817"/>
      <c r="BM17" s="817"/>
      <c r="BN17" s="817"/>
      <c r="BO17" s="817"/>
      <c r="BP17" s="817"/>
      <c r="BQ17" s="817"/>
      <c r="BR17" s="817"/>
      <c r="BS17" s="817"/>
      <c r="BT17" s="817"/>
      <c r="BU17" s="817"/>
      <c r="BV17" s="817"/>
      <c r="BW17" s="817"/>
      <c r="BX17" s="817"/>
      <c r="BY17" s="817"/>
      <c r="BZ17" s="817"/>
      <c r="CA17" s="817"/>
      <c r="CB17" s="817"/>
      <c r="CC17" s="817"/>
      <c r="CD17" s="817"/>
      <c r="CE17" s="817"/>
      <c r="CF17" s="817"/>
      <c r="CG17" s="817"/>
      <c r="CH17" s="817"/>
      <c r="CI17" s="817"/>
      <c r="CJ17" s="817"/>
      <c r="CK17" s="817"/>
      <c r="CL17" s="817"/>
      <c r="CM17" s="817"/>
      <c r="CN17" s="817"/>
      <c r="CO17" s="817"/>
      <c r="CP17" s="817"/>
      <c r="CQ17" s="817"/>
      <c r="CR17" s="817"/>
      <c r="CS17" s="817"/>
      <c r="CT17" s="817"/>
      <c r="CU17" s="817"/>
      <c r="CV17" s="817"/>
      <c r="CW17" s="817"/>
      <c r="CX17" s="817"/>
      <c r="CY17" s="817"/>
      <c r="CZ17" s="817"/>
      <c r="DA17" s="817"/>
      <c r="DB17" s="817"/>
      <c r="DC17" s="817"/>
      <c r="DD17" s="817"/>
      <c r="DE17" s="817"/>
      <c r="DF17" s="817"/>
      <c r="DG17" s="817"/>
      <c r="DH17" s="817"/>
      <c r="DI17" s="817"/>
      <c r="DJ17" s="817"/>
      <c r="DK17" s="817"/>
      <c r="DL17" s="817"/>
      <c r="DM17" s="817"/>
      <c r="DN17" s="817"/>
      <c r="DO17" s="817"/>
      <c r="DP17" s="817"/>
      <c r="DQ17" s="817"/>
      <c r="DR17" s="817"/>
      <c r="DS17" s="817"/>
      <c r="DT17" s="817"/>
      <c r="DU17" s="817"/>
      <c r="DV17" s="817"/>
      <c r="DW17" s="817"/>
      <c r="DX17" s="817"/>
      <c r="DY17" s="817"/>
      <c r="DZ17" s="817"/>
      <c r="EA17" s="817"/>
      <c r="EB17" s="817"/>
      <c r="EC17" s="817"/>
      <c r="ED17" s="817"/>
      <c r="EE17" s="817"/>
      <c r="EF17" s="817"/>
      <c r="EG17" s="817"/>
      <c r="EH17" s="817"/>
      <c r="EI17" s="817"/>
      <c r="EJ17" s="817"/>
      <c r="EK17" s="817"/>
      <c r="EL17" s="817"/>
      <c r="EM17" s="817"/>
      <c r="EN17" s="817"/>
      <c r="EO17" s="817"/>
      <c r="EP17" s="817"/>
      <c r="EQ17" s="817"/>
      <c r="ER17" s="817"/>
      <c r="ES17" s="817"/>
      <c r="ET17" s="817"/>
      <c r="EU17" s="817"/>
      <c r="EV17" s="817"/>
      <c r="EW17" s="817"/>
      <c r="EX17" s="817"/>
      <c r="EY17" s="817"/>
      <c r="EZ17" s="817"/>
      <c r="FA17" s="817"/>
      <c r="FB17" s="817"/>
      <c r="FC17" s="817"/>
      <c r="FD17" s="817"/>
      <c r="FE17" s="817"/>
      <c r="FF17" s="817"/>
      <c r="FG17" s="817"/>
      <c r="FH17" s="817"/>
      <c r="FI17" s="817"/>
      <c r="FJ17" s="817"/>
      <c r="FK17" s="817"/>
      <c r="FL17" s="818">
        <f t="shared" si="0"/>
        <v>7067.0969999999998</v>
      </c>
      <c r="FM17" s="818">
        <f t="shared" si="1"/>
        <v>7066.7809999999999</v>
      </c>
    </row>
    <row r="18" spans="1:169">
      <c r="A18" s="816" t="s">
        <v>1349</v>
      </c>
      <c r="B18" s="817"/>
      <c r="C18" s="817"/>
      <c r="D18" s="817"/>
      <c r="E18" s="817"/>
      <c r="F18" s="817">
        <v>3375.9749999999999</v>
      </c>
      <c r="G18" s="817">
        <v>3326.1149999999998</v>
      </c>
      <c r="H18" s="817"/>
      <c r="I18" s="817"/>
      <c r="J18" s="817"/>
      <c r="K18" s="817"/>
      <c r="L18" s="817"/>
      <c r="M18" s="817"/>
      <c r="N18" s="817"/>
      <c r="O18" s="817"/>
      <c r="P18" s="817"/>
      <c r="Q18" s="817"/>
      <c r="R18" s="817"/>
      <c r="S18" s="817"/>
      <c r="T18" s="817"/>
      <c r="U18" s="817"/>
      <c r="V18" s="817"/>
      <c r="W18" s="817"/>
      <c r="X18" s="817"/>
      <c r="Y18" s="817"/>
      <c r="Z18" s="817"/>
      <c r="AA18" s="817"/>
      <c r="AB18" s="817"/>
      <c r="AC18" s="817"/>
      <c r="AD18" s="817"/>
      <c r="AE18" s="817"/>
      <c r="AF18" s="817"/>
      <c r="AG18" s="817"/>
      <c r="AH18" s="817"/>
      <c r="AI18" s="817"/>
      <c r="AJ18" s="817"/>
      <c r="AK18" s="817"/>
      <c r="AL18" s="817"/>
      <c r="AM18" s="817"/>
      <c r="AN18" s="817"/>
      <c r="AO18" s="817"/>
      <c r="AP18" s="817"/>
      <c r="AQ18" s="817"/>
      <c r="AR18" s="817"/>
      <c r="AS18" s="817"/>
      <c r="AT18" s="817"/>
      <c r="AU18" s="817"/>
      <c r="AV18" s="817"/>
      <c r="AW18" s="817"/>
      <c r="AX18" s="817"/>
      <c r="AY18" s="817"/>
      <c r="AZ18" s="817"/>
      <c r="BA18" s="817"/>
      <c r="BB18" s="817"/>
      <c r="BC18" s="817"/>
      <c r="BD18" s="817"/>
      <c r="BE18" s="817"/>
      <c r="BF18" s="817"/>
      <c r="BG18" s="817"/>
      <c r="BH18" s="817"/>
      <c r="BI18" s="817"/>
      <c r="BJ18" s="817"/>
      <c r="BK18" s="817"/>
      <c r="BL18" s="817"/>
      <c r="BM18" s="817"/>
      <c r="BN18" s="817"/>
      <c r="BO18" s="817"/>
      <c r="BP18" s="817"/>
      <c r="BQ18" s="817"/>
      <c r="BR18" s="817"/>
      <c r="BS18" s="817"/>
      <c r="BT18" s="817"/>
      <c r="BU18" s="817"/>
      <c r="BV18" s="817"/>
      <c r="BW18" s="817"/>
      <c r="BX18" s="817"/>
      <c r="BY18" s="817"/>
      <c r="BZ18" s="817"/>
      <c r="CA18" s="817"/>
      <c r="CB18" s="817"/>
      <c r="CC18" s="817"/>
      <c r="CD18" s="817"/>
      <c r="CE18" s="817"/>
      <c r="CF18" s="817"/>
      <c r="CG18" s="817"/>
      <c r="CH18" s="817"/>
      <c r="CI18" s="817"/>
      <c r="CJ18" s="817"/>
      <c r="CK18" s="817"/>
      <c r="CL18" s="817"/>
      <c r="CM18" s="817"/>
      <c r="CN18" s="817"/>
      <c r="CO18" s="817"/>
      <c r="CP18" s="817"/>
      <c r="CQ18" s="817"/>
      <c r="CR18" s="817"/>
      <c r="CS18" s="817"/>
      <c r="CT18" s="817"/>
      <c r="CU18" s="817"/>
      <c r="CV18" s="817"/>
      <c r="CW18" s="817"/>
      <c r="CX18" s="817"/>
      <c r="CY18" s="817"/>
      <c r="CZ18" s="817"/>
      <c r="DA18" s="817"/>
      <c r="DB18" s="817"/>
      <c r="DC18" s="817"/>
      <c r="DD18" s="817"/>
      <c r="DE18" s="817"/>
      <c r="DF18" s="817"/>
      <c r="DG18" s="817"/>
      <c r="DH18" s="817"/>
      <c r="DI18" s="817"/>
      <c r="DJ18" s="817"/>
      <c r="DK18" s="817"/>
      <c r="DL18" s="817"/>
      <c r="DM18" s="817"/>
      <c r="DN18" s="817"/>
      <c r="DO18" s="817"/>
      <c r="DP18" s="817"/>
      <c r="DQ18" s="817"/>
      <c r="DR18" s="817"/>
      <c r="DS18" s="817"/>
      <c r="DT18" s="817"/>
      <c r="DU18" s="817"/>
      <c r="DV18" s="817"/>
      <c r="DW18" s="817"/>
      <c r="DX18" s="817"/>
      <c r="DY18" s="817"/>
      <c r="DZ18" s="817"/>
      <c r="EA18" s="817"/>
      <c r="EB18" s="817"/>
      <c r="EC18" s="817"/>
      <c r="ED18" s="817"/>
      <c r="EE18" s="817"/>
      <c r="EF18" s="817"/>
      <c r="EG18" s="817"/>
      <c r="EH18" s="817"/>
      <c r="EI18" s="817"/>
      <c r="EJ18" s="817"/>
      <c r="EK18" s="817"/>
      <c r="EL18" s="817"/>
      <c r="EM18" s="817"/>
      <c r="EN18" s="817"/>
      <c r="EO18" s="817"/>
      <c r="EP18" s="817"/>
      <c r="EQ18" s="817"/>
      <c r="ER18" s="817"/>
      <c r="ES18" s="817"/>
      <c r="ET18" s="817"/>
      <c r="EU18" s="817"/>
      <c r="EV18" s="817"/>
      <c r="EW18" s="817"/>
      <c r="EX18" s="817"/>
      <c r="EY18" s="817"/>
      <c r="EZ18" s="817"/>
      <c r="FA18" s="817"/>
      <c r="FB18" s="817"/>
      <c r="FC18" s="817"/>
      <c r="FD18" s="817"/>
      <c r="FE18" s="817"/>
      <c r="FF18" s="817"/>
      <c r="FG18" s="817"/>
      <c r="FH18" s="817"/>
      <c r="FI18" s="817"/>
      <c r="FJ18" s="817"/>
      <c r="FK18" s="817"/>
      <c r="FL18" s="818">
        <f t="shared" si="0"/>
        <v>3375.9749999999999</v>
      </c>
      <c r="FM18" s="818">
        <f t="shared" si="1"/>
        <v>3326.1149999999998</v>
      </c>
    </row>
    <row r="19" spans="1:169">
      <c r="A19" s="816" t="s">
        <v>1350</v>
      </c>
      <c r="B19" s="817"/>
      <c r="C19" s="817"/>
      <c r="D19" s="817"/>
      <c r="E19" s="817"/>
      <c r="F19" s="817"/>
      <c r="G19" s="817"/>
      <c r="H19" s="817"/>
      <c r="I19" s="817"/>
      <c r="J19" s="817"/>
      <c r="K19" s="817"/>
      <c r="L19" s="817"/>
      <c r="M19" s="817"/>
      <c r="N19" s="817"/>
      <c r="O19" s="817"/>
      <c r="P19" s="817"/>
      <c r="Q19" s="817"/>
      <c r="R19" s="817"/>
      <c r="S19" s="817"/>
      <c r="T19" s="817"/>
      <c r="U19" s="817"/>
      <c r="V19" s="817"/>
      <c r="W19" s="817"/>
      <c r="X19" s="817"/>
      <c r="Y19" s="817"/>
      <c r="Z19" s="817"/>
      <c r="AA19" s="817"/>
      <c r="AB19" s="817"/>
      <c r="AC19" s="817"/>
      <c r="AD19" s="817"/>
      <c r="AE19" s="817"/>
      <c r="AF19" s="817"/>
      <c r="AG19" s="817"/>
      <c r="AH19" s="817"/>
      <c r="AI19" s="817"/>
      <c r="AJ19" s="817"/>
      <c r="AK19" s="817"/>
      <c r="AL19" s="817"/>
      <c r="AM19" s="817"/>
      <c r="AN19" s="817"/>
      <c r="AO19" s="817"/>
      <c r="AP19" s="817"/>
      <c r="AQ19" s="817"/>
      <c r="AR19" s="817"/>
      <c r="AS19" s="817"/>
      <c r="AT19" s="817"/>
      <c r="AU19" s="817"/>
      <c r="AV19" s="817"/>
      <c r="AW19" s="817"/>
      <c r="AX19" s="817"/>
      <c r="AY19" s="817"/>
      <c r="AZ19" s="817"/>
      <c r="BA19" s="817"/>
      <c r="BB19" s="817"/>
      <c r="BC19" s="817"/>
      <c r="BD19" s="817"/>
      <c r="BE19" s="817"/>
      <c r="BF19" s="817"/>
      <c r="BG19" s="817"/>
      <c r="BH19" s="817"/>
      <c r="BI19" s="817"/>
      <c r="BJ19" s="817"/>
      <c r="BK19" s="817"/>
      <c r="BL19" s="817"/>
      <c r="BM19" s="817"/>
      <c r="BN19" s="817"/>
      <c r="BO19" s="817"/>
      <c r="BP19" s="817"/>
      <c r="BQ19" s="817"/>
      <c r="BR19" s="817"/>
      <c r="BS19" s="817"/>
      <c r="BT19" s="817"/>
      <c r="BU19" s="817"/>
      <c r="BV19" s="817"/>
      <c r="BW19" s="817"/>
      <c r="BX19" s="817"/>
      <c r="BY19" s="817"/>
      <c r="BZ19" s="817"/>
      <c r="CA19" s="817"/>
      <c r="CB19" s="817"/>
      <c r="CC19" s="817"/>
      <c r="CD19" s="817"/>
      <c r="CE19" s="817"/>
      <c r="CF19" s="817"/>
      <c r="CG19" s="817"/>
      <c r="CH19" s="817"/>
      <c r="CI19" s="817"/>
      <c r="CJ19" s="817"/>
      <c r="CK19" s="817"/>
      <c r="CL19" s="817"/>
      <c r="CM19" s="817"/>
      <c r="CN19" s="817"/>
      <c r="CO19" s="817"/>
      <c r="CP19" s="817"/>
      <c r="CQ19" s="817"/>
      <c r="CR19" s="817"/>
      <c r="CS19" s="817"/>
      <c r="CT19" s="817"/>
      <c r="CU19" s="817"/>
      <c r="CV19" s="817"/>
      <c r="CW19" s="817"/>
      <c r="CX19" s="817"/>
      <c r="CY19" s="817"/>
      <c r="CZ19" s="817"/>
      <c r="DA19" s="817"/>
      <c r="DB19" s="817"/>
      <c r="DC19" s="817"/>
      <c r="DD19" s="817"/>
      <c r="DE19" s="817"/>
      <c r="DF19" s="817"/>
      <c r="DG19" s="817"/>
      <c r="DH19" s="817"/>
      <c r="DI19" s="817"/>
      <c r="DJ19" s="817"/>
      <c r="DK19" s="817"/>
      <c r="DL19" s="817"/>
      <c r="DM19" s="817"/>
      <c r="DN19" s="817"/>
      <c r="DO19" s="817"/>
      <c r="DP19" s="817"/>
      <c r="DQ19" s="817"/>
      <c r="DR19" s="817"/>
      <c r="DS19" s="817"/>
      <c r="DT19" s="817"/>
      <c r="DU19" s="817"/>
      <c r="DV19" s="817"/>
      <c r="DW19" s="817"/>
      <c r="DX19" s="817"/>
      <c r="DY19" s="817"/>
      <c r="DZ19" s="817"/>
      <c r="EA19" s="817"/>
      <c r="EB19" s="817"/>
      <c r="EC19" s="817"/>
      <c r="ED19" s="817"/>
      <c r="EE19" s="817"/>
      <c r="EF19" s="817"/>
      <c r="EG19" s="817"/>
      <c r="EH19" s="817"/>
      <c r="EI19" s="817"/>
      <c r="EJ19" s="817"/>
      <c r="EK19" s="817"/>
      <c r="EL19" s="817"/>
      <c r="EM19" s="817"/>
      <c r="EN19" s="817"/>
      <c r="EO19" s="817"/>
      <c r="EP19" s="817"/>
      <c r="EQ19" s="817"/>
      <c r="ER19" s="817"/>
      <c r="ES19" s="817"/>
      <c r="ET19" s="817"/>
      <c r="EU19" s="817"/>
      <c r="EV19" s="817"/>
      <c r="EW19" s="817"/>
      <c r="EX19" s="817"/>
      <c r="EY19" s="817"/>
      <c r="EZ19" s="817"/>
      <c r="FA19" s="817"/>
      <c r="FB19" s="817"/>
      <c r="FC19" s="817"/>
      <c r="FD19" s="817"/>
      <c r="FE19" s="817"/>
      <c r="FF19" s="817"/>
      <c r="FG19" s="817"/>
      <c r="FH19" s="817"/>
      <c r="FI19" s="817"/>
      <c r="FJ19" s="817"/>
      <c r="FK19" s="817"/>
      <c r="FL19" s="818">
        <f t="shared" si="0"/>
        <v>0</v>
      </c>
      <c r="FM19" s="818">
        <f t="shared" si="1"/>
        <v>0</v>
      </c>
    </row>
    <row r="20" spans="1:169">
      <c r="A20" s="816" t="s">
        <v>1351</v>
      </c>
      <c r="B20" s="817"/>
      <c r="C20" s="817"/>
      <c r="D20" s="817"/>
      <c r="E20" s="817"/>
      <c r="F20" s="817"/>
      <c r="G20" s="817"/>
      <c r="H20" s="817"/>
      <c r="I20" s="817"/>
      <c r="J20" s="817"/>
      <c r="K20" s="817"/>
      <c r="L20" s="817"/>
      <c r="M20" s="817"/>
      <c r="N20" s="817"/>
      <c r="O20" s="817"/>
      <c r="P20" s="817"/>
      <c r="Q20" s="817"/>
      <c r="R20" s="817"/>
      <c r="S20" s="817"/>
      <c r="T20" s="817"/>
      <c r="U20" s="817"/>
      <c r="V20" s="817"/>
      <c r="W20" s="817"/>
      <c r="X20" s="817"/>
      <c r="Y20" s="817"/>
      <c r="Z20" s="817"/>
      <c r="AA20" s="817"/>
      <c r="AB20" s="817"/>
      <c r="AC20" s="817"/>
      <c r="AD20" s="817"/>
      <c r="AE20" s="817"/>
      <c r="AF20" s="817"/>
      <c r="AG20" s="817"/>
      <c r="AH20" s="817"/>
      <c r="AI20" s="817"/>
      <c r="AJ20" s="817"/>
      <c r="AK20" s="817"/>
      <c r="AL20" s="817">
        <v>1600</v>
      </c>
      <c r="AM20" s="817">
        <v>1600</v>
      </c>
      <c r="AN20" s="817"/>
      <c r="AO20" s="817"/>
      <c r="AP20" s="817"/>
      <c r="AQ20" s="817"/>
      <c r="AR20" s="817"/>
      <c r="AS20" s="817"/>
      <c r="AT20" s="817"/>
      <c r="AU20" s="817"/>
      <c r="AV20" s="817">
        <v>3097.9479999999999</v>
      </c>
      <c r="AW20" s="817">
        <v>3097.9479999999999</v>
      </c>
      <c r="AX20" s="817"/>
      <c r="AY20" s="817"/>
      <c r="AZ20" s="817"/>
      <c r="BA20" s="817"/>
      <c r="BB20" s="817"/>
      <c r="BC20" s="817"/>
      <c r="BD20" s="817"/>
      <c r="BE20" s="817"/>
      <c r="BF20" s="817"/>
      <c r="BG20" s="817"/>
      <c r="BH20" s="817"/>
      <c r="BI20" s="817"/>
      <c r="BJ20" s="817"/>
      <c r="BK20" s="817"/>
      <c r="BL20" s="817"/>
      <c r="BM20" s="817"/>
      <c r="BN20" s="817"/>
      <c r="BO20" s="817"/>
      <c r="BP20" s="817"/>
      <c r="BQ20" s="817"/>
      <c r="BR20" s="817"/>
      <c r="BS20" s="817"/>
      <c r="BT20" s="817"/>
      <c r="BU20" s="817"/>
      <c r="BV20" s="817"/>
      <c r="BW20" s="817"/>
      <c r="BX20" s="817"/>
      <c r="BY20" s="817"/>
      <c r="BZ20" s="817"/>
      <c r="CA20" s="817"/>
      <c r="CB20" s="817"/>
      <c r="CC20" s="817"/>
      <c r="CD20" s="817"/>
      <c r="CE20" s="817"/>
      <c r="CF20" s="817"/>
      <c r="CG20" s="817"/>
      <c r="CH20" s="817"/>
      <c r="CI20" s="817"/>
      <c r="CJ20" s="817">
        <v>424</v>
      </c>
      <c r="CK20" s="817">
        <v>424</v>
      </c>
      <c r="CL20" s="817"/>
      <c r="CM20" s="817"/>
      <c r="CN20" s="817"/>
      <c r="CO20" s="817"/>
      <c r="CP20" s="817"/>
      <c r="CQ20" s="817"/>
      <c r="CR20" s="817"/>
      <c r="CS20" s="817"/>
      <c r="CT20" s="817"/>
      <c r="CU20" s="817"/>
      <c r="CV20" s="817"/>
      <c r="CW20" s="817"/>
      <c r="CX20" s="817"/>
      <c r="CY20" s="817"/>
      <c r="CZ20" s="817"/>
      <c r="DA20" s="817"/>
      <c r="DB20" s="817"/>
      <c r="DC20" s="817"/>
      <c r="DD20" s="817"/>
      <c r="DE20" s="817"/>
      <c r="DF20" s="817"/>
      <c r="DG20" s="817"/>
      <c r="DH20" s="817"/>
      <c r="DI20" s="817"/>
      <c r="DJ20" s="817"/>
      <c r="DK20" s="817"/>
      <c r="DL20" s="817"/>
      <c r="DM20" s="817"/>
      <c r="DN20" s="817"/>
      <c r="DO20" s="817"/>
      <c r="DP20" s="817"/>
      <c r="DQ20" s="817"/>
      <c r="DR20" s="817"/>
      <c r="DS20" s="817"/>
      <c r="DT20" s="817"/>
      <c r="DU20" s="817"/>
      <c r="DV20" s="817"/>
      <c r="DW20" s="817"/>
      <c r="DX20" s="817"/>
      <c r="DY20" s="817"/>
      <c r="DZ20" s="817"/>
      <c r="EA20" s="817"/>
      <c r="EB20" s="817"/>
      <c r="EC20" s="817"/>
      <c r="ED20" s="817"/>
      <c r="EE20" s="817"/>
      <c r="EF20" s="817"/>
      <c r="EG20" s="817"/>
      <c r="EH20" s="817"/>
      <c r="EI20" s="817"/>
      <c r="EJ20" s="817"/>
      <c r="EK20" s="817"/>
      <c r="EL20" s="817"/>
      <c r="EM20" s="817"/>
      <c r="EN20" s="817"/>
      <c r="EO20" s="817"/>
      <c r="EP20" s="817"/>
      <c r="EQ20" s="817"/>
      <c r="ER20" s="817"/>
      <c r="ES20" s="817"/>
      <c r="ET20" s="817"/>
      <c r="EU20" s="817"/>
      <c r="EV20" s="817"/>
      <c r="EW20" s="817"/>
      <c r="EX20" s="817"/>
      <c r="EY20" s="817"/>
      <c r="EZ20" s="817"/>
      <c r="FA20" s="817"/>
      <c r="FB20" s="817"/>
      <c r="FC20" s="817"/>
      <c r="FD20" s="817"/>
      <c r="FE20" s="817"/>
      <c r="FF20" s="817"/>
      <c r="FG20" s="817"/>
      <c r="FH20" s="817"/>
      <c r="FI20" s="817"/>
      <c r="FJ20" s="817"/>
      <c r="FK20" s="817"/>
      <c r="FL20" s="818">
        <f t="shared" si="0"/>
        <v>5121.9480000000003</v>
      </c>
      <c r="FM20" s="818">
        <f t="shared" si="1"/>
        <v>5121.9480000000003</v>
      </c>
    </row>
    <row r="21" spans="1:169">
      <c r="A21" s="816" t="s">
        <v>1352</v>
      </c>
      <c r="B21" s="817"/>
      <c r="C21" s="817"/>
      <c r="D21" s="817"/>
      <c r="E21" s="817"/>
      <c r="F21" s="817"/>
      <c r="G21" s="817"/>
      <c r="H21" s="817"/>
      <c r="I21" s="817"/>
      <c r="J21" s="817"/>
      <c r="K21" s="817"/>
      <c r="L21" s="817"/>
      <c r="M21" s="817"/>
      <c r="N21" s="817"/>
      <c r="O21" s="817"/>
      <c r="P21" s="817"/>
      <c r="Q21" s="817"/>
      <c r="R21" s="817"/>
      <c r="S21" s="817"/>
      <c r="T21" s="817"/>
      <c r="U21" s="817"/>
      <c r="V21" s="817"/>
      <c r="W21" s="817"/>
      <c r="X21" s="817"/>
      <c r="Y21" s="817"/>
      <c r="Z21" s="817"/>
      <c r="AA21" s="817"/>
      <c r="AB21" s="817"/>
      <c r="AC21" s="817"/>
      <c r="AD21" s="817"/>
      <c r="AE21" s="817"/>
      <c r="AF21" s="817"/>
      <c r="AG21" s="817"/>
      <c r="AH21" s="817"/>
      <c r="AI21" s="817"/>
      <c r="AJ21" s="817"/>
      <c r="AK21" s="817"/>
      <c r="AL21" s="817"/>
      <c r="AM21" s="817"/>
      <c r="AN21" s="817"/>
      <c r="AO21" s="817"/>
      <c r="AP21" s="817"/>
      <c r="AQ21" s="817"/>
      <c r="AR21" s="817"/>
      <c r="AS21" s="817"/>
      <c r="AT21" s="817"/>
      <c r="AU21" s="817"/>
      <c r="AV21" s="817"/>
      <c r="AW21" s="817"/>
      <c r="AX21" s="817"/>
      <c r="AY21" s="817"/>
      <c r="AZ21" s="817"/>
      <c r="BA21" s="817"/>
      <c r="BB21" s="817"/>
      <c r="BC21" s="817"/>
      <c r="BD21" s="817"/>
      <c r="BE21" s="817"/>
      <c r="BF21" s="817"/>
      <c r="BG21" s="817"/>
      <c r="BH21" s="817"/>
      <c r="BI21" s="817"/>
      <c r="BJ21" s="817"/>
      <c r="BK21" s="817"/>
      <c r="BL21" s="817"/>
      <c r="BM21" s="817"/>
      <c r="BN21" s="817"/>
      <c r="BO21" s="817"/>
      <c r="BP21" s="817"/>
      <c r="BQ21" s="817"/>
      <c r="BR21" s="817"/>
      <c r="BS21" s="817"/>
      <c r="BT21" s="817"/>
      <c r="BU21" s="817"/>
      <c r="BV21" s="817"/>
      <c r="BW21" s="817"/>
      <c r="BX21" s="817"/>
      <c r="BY21" s="817"/>
      <c r="BZ21" s="817"/>
      <c r="CA21" s="817"/>
      <c r="CB21" s="817"/>
      <c r="CC21" s="817"/>
      <c r="CD21" s="817"/>
      <c r="CE21" s="817"/>
      <c r="CF21" s="817"/>
      <c r="CG21" s="817"/>
      <c r="CH21" s="817"/>
      <c r="CI21" s="817"/>
      <c r="CJ21" s="817"/>
      <c r="CK21" s="817"/>
      <c r="CL21" s="817"/>
      <c r="CM21" s="817"/>
      <c r="CN21" s="817"/>
      <c r="CO21" s="817"/>
      <c r="CP21" s="817"/>
      <c r="CQ21" s="817"/>
      <c r="CR21" s="817"/>
      <c r="CS21" s="817"/>
      <c r="CT21" s="817"/>
      <c r="CU21" s="817"/>
      <c r="CV21" s="817"/>
      <c r="CW21" s="817"/>
      <c r="CX21" s="817"/>
      <c r="CY21" s="817"/>
      <c r="CZ21" s="817"/>
      <c r="DA21" s="817"/>
      <c r="DB21" s="817"/>
      <c r="DC21" s="817"/>
      <c r="DD21" s="817"/>
      <c r="DE21" s="817"/>
      <c r="DF21" s="817"/>
      <c r="DG21" s="817"/>
      <c r="DH21" s="817"/>
      <c r="DI21" s="817"/>
      <c r="DJ21" s="817"/>
      <c r="DK21" s="817"/>
      <c r="DL21" s="817"/>
      <c r="DM21" s="817"/>
      <c r="DN21" s="817"/>
      <c r="DO21" s="817"/>
      <c r="DP21" s="817"/>
      <c r="DQ21" s="817"/>
      <c r="DR21" s="817"/>
      <c r="DS21" s="817"/>
      <c r="DT21" s="817"/>
      <c r="DU21" s="817"/>
      <c r="DV21" s="817"/>
      <c r="DW21" s="817"/>
      <c r="DX21" s="817"/>
      <c r="DY21" s="817"/>
      <c r="DZ21" s="817"/>
      <c r="EA21" s="817"/>
      <c r="EB21" s="817"/>
      <c r="EC21" s="817"/>
      <c r="ED21" s="817"/>
      <c r="EE21" s="817"/>
      <c r="EF21" s="817"/>
      <c r="EG21" s="817"/>
      <c r="EH21" s="817"/>
      <c r="EI21" s="817"/>
      <c r="EJ21" s="817"/>
      <c r="EK21" s="817"/>
      <c r="EL21" s="817"/>
      <c r="EM21" s="817"/>
      <c r="EN21" s="817"/>
      <c r="EO21" s="817"/>
      <c r="EP21" s="817"/>
      <c r="EQ21" s="817"/>
      <c r="ER21" s="817"/>
      <c r="ES21" s="817"/>
      <c r="ET21" s="817"/>
      <c r="EU21" s="817"/>
      <c r="EV21" s="817"/>
      <c r="EW21" s="817"/>
      <c r="EX21" s="817"/>
      <c r="EY21" s="817"/>
      <c r="EZ21" s="817"/>
      <c r="FA21" s="817"/>
      <c r="FB21" s="817"/>
      <c r="FC21" s="817"/>
      <c r="FD21" s="817"/>
      <c r="FE21" s="817"/>
      <c r="FF21" s="817"/>
      <c r="FG21" s="817"/>
      <c r="FH21" s="817"/>
      <c r="FI21" s="817"/>
      <c r="FJ21" s="817"/>
      <c r="FK21" s="817"/>
      <c r="FL21" s="818">
        <f t="shared" si="0"/>
        <v>0</v>
      </c>
      <c r="FM21" s="818">
        <f t="shared" si="1"/>
        <v>0</v>
      </c>
    </row>
    <row r="22" spans="1:169">
      <c r="A22" s="816" t="s">
        <v>1353</v>
      </c>
      <c r="B22" s="817"/>
      <c r="C22" s="817"/>
      <c r="D22" s="817"/>
      <c r="E22" s="817"/>
      <c r="F22" s="817"/>
      <c r="G22" s="817"/>
      <c r="H22" s="817"/>
      <c r="I22" s="817"/>
      <c r="J22" s="817"/>
      <c r="K22" s="817"/>
      <c r="L22" s="817"/>
      <c r="M22" s="817"/>
      <c r="N22" s="817"/>
      <c r="O22" s="817"/>
      <c r="P22" s="817"/>
      <c r="Q22" s="817"/>
      <c r="R22" s="817"/>
      <c r="S22" s="817"/>
      <c r="T22" s="817"/>
      <c r="U22" s="817"/>
      <c r="V22" s="817"/>
      <c r="W22" s="817"/>
      <c r="X22" s="817"/>
      <c r="Y22" s="817"/>
      <c r="Z22" s="817"/>
      <c r="AA22" s="817"/>
      <c r="AB22" s="817"/>
      <c r="AC22" s="817"/>
      <c r="AD22" s="817"/>
      <c r="AE22" s="817"/>
      <c r="AF22" s="817"/>
      <c r="AG22" s="817"/>
      <c r="AH22" s="817"/>
      <c r="AI22" s="817"/>
      <c r="AJ22" s="817"/>
      <c r="AK22" s="817"/>
      <c r="AL22" s="817"/>
      <c r="AM22" s="817"/>
      <c r="AN22" s="817"/>
      <c r="AO22" s="817"/>
      <c r="AP22" s="817"/>
      <c r="AQ22" s="817"/>
      <c r="AR22" s="817"/>
      <c r="AS22" s="817"/>
      <c r="AT22" s="817"/>
      <c r="AU22" s="817"/>
      <c r="AV22" s="817"/>
      <c r="AW22" s="817"/>
      <c r="AX22" s="817"/>
      <c r="AY22" s="817"/>
      <c r="AZ22" s="817"/>
      <c r="BA22" s="817"/>
      <c r="BB22" s="817"/>
      <c r="BC22" s="817"/>
      <c r="BD22" s="817"/>
      <c r="BE22" s="817"/>
      <c r="BF22" s="817"/>
      <c r="BG22" s="817"/>
      <c r="BH22" s="817"/>
      <c r="BI22" s="817"/>
      <c r="BJ22" s="817"/>
      <c r="BK22" s="817"/>
      <c r="BL22" s="817"/>
      <c r="BM22" s="817"/>
      <c r="BN22" s="817"/>
      <c r="BO22" s="817"/>
      <c r="BP22" s="817"/>
      <c r="BQ22" s="817"/>
      <c r="BR22" s="817"/>
      <c r="BS22" s="817"/>
      <c r="BT22" s="817"/>
      <c r="BU22" s="817"/>
      <c r="BV22" s="817"/>
      <c r="BW22" s="817"/>
      <c r="BX22" s="817"/>
      <c r="BY22" s="817"/>
      <c r="BZ22" s="817"/>
      <c r="CA22" s="817"/>
      <c r="CB22" s="817"/>
      <c r="CC22" s="817"/>
      <c r="CD22" s="817"/>
      <c r="CE22" s="817"/>
      <c r="CF22" s="817"/>
      <c r="CG22" s="817"/>
      <c r="CH22" s="817"/>
      <c r="CI22" s="817"/>
      <c r="CJ22" s="817"/>
      <c r="CK22" s="817"/>
      <c r="CL22" s="817"/>
      <c r="CM22" s="817"/>
      <c r="CN22" s="817"/>
      <c r="CO22" s="817"/>
      <c r="CP22" s="817"/>
      <c r="CQ22" s="817"/>
      <c r="CR22" s="817"/>
      <c r="CS22" s="817"/>
      <c r="CT22" s="817"/>
      <c r="CU22" s="817"/>
      <c r="CV22" s="817"/>
      <c r="CW22" s="817"/>
      <c r="CX22" s="817"/>
      <c r="CY22" s="817"/>
      <c r="CZ22" s="817"/>
      <c r="DA22" s="817"/>
      <c r="DB22" s="817"/>
      <c r="DC22" s="817"/>
      <c r="DD22" s="817"/>
      <c r="DE22" s="817"/>
      <c r="DF22" s="817"/>
      <c r="DG22" s="817"/>
      <c r="DH22" s="817"/>
      <c r="DI22" s="817"/>
      <c r="DJ22" s="817"/>
      <c r="DK22" s="817"/>
      <c r="DL22" s="817"/>
      <c r="DM22" s="817"/>
      <c r="DN22" s="817"/>
      <c r="DO22" s="817"/>
      <c r="DP22" s="817"/>
      <c r="DQ22" s="817"/>
      <c r="DR22" s="817"/>
      <c r="DS22" s="817"/>
      <c r="DT22" s="817"/>
      <c r="DU22" s="817"/>
      <c r="DV22" s="817"/>
      <c r="DW22" s="817"/>
      <c r="DX22" s="817"/>
      <c r="DY22" s="817"/>
      <c r="DZ22" s="817"/>
      <c r="EA22" s="817"/>
      <c r="EB22" s="817"/>
      <c r="EC22" s="817"/>
      <c r="ED22" s="817"/>
      <c r="EE22" s="817"/>
      <c r="EF22" s="817"/>
      <c r="EG22" s="817"/>
      <c r="EH22" s="817"/>
      <c r="EI22" s="817"/>
      <c r="EJ22" s="817"/>
      <c r="EK22" s="817"/>
      <c r="EL22" s="817"/>
      <c r="EM22" s="817"/>
      <c r="EN22" s="817"/>
      <c r="EO22" s="817"/>
      <c r="EP22" s="817"/>
      <c r="EQ22" s="817"/>
      <c r="ER22" s="817"/>
      <c r="ES22" s="817"/>
      <c r="ET22" s="817"/>
      <c r="EU22" s="817"/>
      <c r="EV22" s="817"/>
      <c r="EW22" s="817"/>
      <c r="EX22" s="817"/>
      <c r="EY22" s="817"/>
      <c r="EZ22" s="817"/>
      <c r="FA22" s="817"/>
      <c r="FB22" s="817"/>
      <c r="FC22" s="817"/>
      <c r="FD22" s="817"/>
      <c r="FE22" s="817"/>
      <c r="FF22" s="817"/>
      <c r="FG22" s="817"/>
      <c r="FH22" s="817"/>
      <c r="FI22" s="817"/>
      <c r="FJ22" s="817"/>
      <c r="FK22" s="817"/>
      <c r="FL22" s="818">
        <f t="shared" si="0"/>
        <v>0</v>
      </c>
      <c r="FM22" s="818">
        <f t="shared" si="1"/>
        <v>0</v>
      </c>
    </row>
    <row r="23" spans="1:169">
      <c r="A23" s="816" t="s">
        <v>1354</v>
      </c>
      <c r="B23" s="817"/>
      <c r="C23" s="817"/>
      <c r="D23" s="817"/>
      <c r="E23" s="817"/>
      <c r="F23" s="817"/>
      <c r="G23" s="817"/>
      <c r="H23" s="817"/>
      <c r="I23" s="817"/>
      <c r="J23" s="817"/>
      <c r="K23" s="817"/>
      <c r="L23" s="817"/>
      <c r="M23" s="817"/>
      <c r="N23" s="817"/>
      <c r="O23" s="817"/>
      <c r="P23" s="817"/>
      <c r="Q23" s="817"/>
      <c r="R23" s="817"/>
      <c r="S23" s="817"/>
      <c r="T23" s="817"/>
      <c r="U23" s="817"/>
      <c r="V23" s="817"/>
      <c r="W23" s="817"/>
      <c r="X23" s="817"/>
      <c r="Y23" s="817"/>
      <c r="Z23" s="817">
        <v>4491.7759999999998</v>
      </c>
      <c r="AA23" s="817">
        <v>4408.16</v>
      </c>
      <c r="AB23" s="817"/>
      <c r="AC23" s="817"/>
      <c r="AD23" s="817"/>
      <c r="AE23" s="817"/>
      <c r="AF23" s="817"/>
      <c r="AG23" s="817"/>
      <c r="AH23" s="817"/>
      <c r="AI23" s="817"/>
      <c r="AJ23" s="817"/>
      <c r="AK23" s="817"/>
      <c r="AL23" s="817"/>
      <c r="AM23" s="817"/>
      <c r="AN23" s="817"/>
      <c r="AO23" s="817"/>
      <c r="AP23" s="817"/>
      <c r="AQ23" s="817"/>
      <c r="AR23" s="817"/>
      <c r="AS23" s="817"/>
      <c r="AT23" s="817"/>
      <c r="AU23" s="817"/>
      <c r="AV23" s="817"/>
      <c r="AW23" s="817"/>
      <c r="AX23" s="817"/>
      <c r="AY23" s="817"/>
      <c r="AZ23" s="817">
        <v>7</v>
      </c>
      <c r="BA23" s="817">
        <v>7</v>
      </c>
      <c r="BB23" s="817"/>
      <c r="BC23" s="817"/>
      <c r="BD23" s="817"/>
      <c r="BE23" s="817"/>
      <c r="BF23" s="817"/>
      <c r="BG23" s="817"/>
      <c r="BH23" s="817"/>
      <c r="BI23" s="817"/>
      <c r="BJ23" s="817"/>
      <c r="BK23" s="817"/>
      <c r="BL23" s="817"/>
      <c r="BM23" s="817"/>
      <c r="BN23" s="817"/>
      <c r="BO23" s="817"/>
      <c r="BP23" s="817"/>
      <c r="BQ23" s="817"/>
      <c r="BR23" s="817"/>
      <c r="BS23" s="817"/>
      <c r="BT23" s="817"/>
      <c r="BU23" s="817"/>
      <c r="BV23" s="817"/>
      <c r="BW23" s="817"/>
      <c r="BX23" s="817"/>
      <c r="BY23" s="817"/>
      <c r="BZ23" s="817"/>
      <c r="CA23" s="817"/>
      <c r="CB23" s="817"/>
      <c r="CC23" s="817"/>
      <c r="CD23" s="817"/>
      <c r="CE23" s="817"/>
      <c r="CF23" s="817"/>
      <c r="CG23" s="817"/>
      <c r="CH23" s="817"/>
      <c r="CI23" s="817"/>
      <c r="CJ23" s="817"/>
      <c r="CK23" s="817"/>
      <c r="CL23" s="817"/>
      <c r="CM23" s="817"/>
      <c r="CN23" s="817"/>
      <c r="CO23" s="817"/>
      <c r="CP23" s="817"/>
      <c r="CQ23" s="817"/>
      <c r="CR23" s="817"/>
      <c r="CS23" s="817"/>
      <c r="CT23" s="817"/>
      <c r="CU23" s="817"/>
      <c r="CV23" s="817"/>
      <c r="CW23" s="817"/>
      <c r="CX23" s="817"/>
      <c r="CY23" s="817"/>
      <c r="CZ23" s="817"/>
      <c r="DA23" s="817"/>
      <c r="DB23" s="817"/>
      <c r="DC23" s="817"/>
      <c r="DD23" s="817"/>
      <c r="DE23" s="817"/>
      <c r="DF23" s="817"/>
      <c r="DG23" s="817"/>
      <c r="DH23" s="817"/>
      <c r="DI23" s="817"/>
      <c r="DJ23" s="817"/>
      <c r="DK23" s="817"/>
      <c r="DL23" s="817"/>
      <c r="DM23" s="817"/>
      <c r="DN23" s="817"/>
      <c r="DO23" s="817"/>
      <c r="DP23" s="817"/>
      <c r="DQ23" s="817"/>
      <c r="DR23" s="817"/>
      <c r="DS23" s="817"/>
      <c r="DT23" s="817"/>
      <c r="DU23" s="817"/>
      <c r="DV23" s="817"/>
      <c r="DW23" s="817"/>
      <c r="DX23" s="817"/>
      <c r="DY23" s="817"/>
      <c r="DZ23" s="817"/>
      <c r="EA23" s="817"/>
      <c r="EB23" s="817"/>
      <c r="EC23" s="817"/>
      <c r="ED23" s="817"/>
      <c r="EE23" s="817"/>
      <c r="EF23" s="817"/>
      <c r="EG23" s="817"/>
      <c r="EH23" s="817"/>
      <c r="EI23" s="817"/>
      <c r="EJ23" s="817"/>
      <c r="EK23" s="817"/>
      <c r="EL23" s="817"/>
      <c r="EM23" s="817"/>
      <c r="EN23" s="817"/>
      <c r="EO23" s="817"/>
      <c r="EP23" s="817"/>
      <c r="EQ23" s="817"/>
      <c r="ER23" s="817"/>
      <c r="ES23" s="817"/>
      <c r="ET23" s="817"/>
      <c r="EU23" s="817"/>
      <c r="EV23" s="817"/>
      <c r="EW23" s="817"/>
      <c r="EX23" s="817"/>
      <c r="EY23" s="817"/>
      <c r="EZ23" s="817"/>
      <c r="FA23" s="817"/>
      <c r="FB23" s="817"/>
      <c r="FC23" s="817"/>
      <c r="FD23" s="817"/>
      <c r="FE23" s="817"/>
      <c r="FF23" s="817"/>
      <c r="FG23" s="817"/>
      <c r="FH23" s="817"/>
      <c r="FI23" s="817"/>
      <c r="FJ23" s="817"/>
      <c r="FK23" s="817"/>
      <c r="FL23" s="818">
        <f t="shared" si="0"/>
        <v>4498.7759999999998</v>
      </c>
      <c r="FM23" s="818">
        <f t="shared" si="1"/>
        <v>4415.16</v>
      </c>
    </row>
    <row r="24" spans="1:169" hidden="1">
      <c r="A24" s="816" t="s">
        <v>1355</v>
      </c>
      <c r="B24" s="817"/>
      <c r="C24" s="817"/>
      <c r="D24" s="817"/>
      <c r="E24" s="817"/>
      <c r="F24" s="817"/>
      <c r="G24" s="817"/>
      <c r="H24" s="817"/>
      <c r="I24" s="817"/>
      <c r="J24" s="817"/>
      <c r="K24" s="817"/>
      <c r="L24" s="817"/>
      <c r="M24" s="817"/>
      <c r="N24" s="817"/>
      <c r="O24" s="817"/>
      <c r="P24" s="817"/>
      <c r="Q24" s="817"/>
      <c r="R24" s="817"/>
      <c r="S24" s="817"/>
      <c r="T24" s="817"/>
      <c r="U24" s="817"/>
      <c r="V24" s="817"/>
      <c r="W24" s="817"/>
      <c r="X24" s="817"/>
      <c r="Y24" s="817"/>
      <c r="Z24" s="817"/>
      <c r="AA24" s="817"/>
      <c r="AB24" s="817"/>
      <c r="AC24" s="817"/>
      <c r="AD24" s="817"/>
      <c r="AE24" s="817"/>
      <c r="AF24" s="817"/>
      <c r="AG24" s="817"/>
      <c r="AH24" s="817"/>
      <c r="AI24" s="817"/>
      <c r="AJ24" s="817"/>
      <c r="AK24" s="817"/>
      <c r="AL24" s="817"/>
      <c r="AM24" s="817"/>
      <c r="AN24" s="817"/>
      <c r="AO24" s="817"/>
      <c r="AP24" s="817"/>
      <c r="AQ24" s="817"/>
      <c r="AR24" s="817"/>
      <c r="AS24" s="817"/>
      <c r="AT24" s="817"/>
      <c r="AU24" s="817"/>
      <c r="AV24" s="817"/>
      <c r="AW24" s="817"/>
      <c r="AX24" s="817"/>
      <c r="AY24" s="817"/>
      <c r="AZ24" s="817"/>
      <c r="BA24" s="817"/>
      <c r="BB24" s="817"/>
      <c r="BC24" s="817"/>
      <c r="BD24" s="817"/>
      <c r="BE24" s="817"/>
      <c r="BF24" s="817"/>
      <c r="BG24" s="817"/>
      <c r="BH24" s="817"/>
      <c r="BI24" s="817"/>
      <c r="BJ24" s="817"/>
      <c r="BK24" s="817"/>
      <c r="BL24" s="817"/>
      <c r="BM24" s="817"/>
      <c r="BN24" s="817"/>
      <c r="BO24" s="817"/>
      <c r="BP24" s="817"/>
      <c r="BQ24" s="817"/>
      <c r="BR24" s="817"/>
      <c r="BS24" s="817"/>
      <c r="BT24" s="817"/>
      <c r="BU24" s="817"/>
      <c r="BV24" s="817"/>
      <c r="BW24" s="817"/>
      <c r="BX24" s="817"/>
      <c r="BY24" s="817"/>
      <c r="BZ24" s="817"/>
      <c r="CA24" s="817"/>
      <c r="CB24" s="817"/>
      <c r="CC24" s="817"/>
      <c r="CD24" s="817"/>
      <c r="CE24" s="817"/>
      <c r="CF24" s="817"/>
      <c r="CG24" s="817"/>
      <c r="CH24" s="817"/>
      <c r="CI24" s="817"/>
      <c r="CJ24" s="817"/>
      <c r="CK24" s="817"/>
      <c r="CL24" s="817"/>
      <c r="CM24" s="817"/>
      <c r="CN24" s="817"/>
      <c r="CO24" s="817"/>
      <c r="CP24" s="817"/>
      <c r="CQ24" s="817"/>
      <c r="CR24" s="817"/>
      <c r="CS24" s="817"/>
      <c r="CT24" s="817"/>
      <c r="CU24" s="817"/>
      <c r="CV24" s="817"/>
      <c r="CW24" s="817"/>
      <c r="CX24" s="817"/>
      <c r="CY24" s="817"/>
      <c r="CZ24" s="817"/>
      <c r="DA24" s="817"/>
      <c r="DB24" s="817"/>
      <c r="DC24" s="817"/>
      <c r="DD24" s="817"/>
      <c r="DE24" s="817"/>
      <c r="DF24" s="817"/>
      <c r="DG24" s="817"/>
      <c r="DH24" s="817"/>
      <c r="DI24" s="817"/>
      <c r="DJ24" s="817"/>
      <c r="DK24" s="817"/>
      <c r="DL24" s="817"/>
      <c r="DM24" s="817"/>
      <c r="DN24" s="817"/>
      <c r="DO24" s="817"/>
      <c r="DP24" s="817"/>
      <c r="DQ24" s="817"/>
      <c r="DR24" s="817"/>
      <c r="DS24" s="817"/>
      <c r="DT24" s="817"/>
      <c r="DU24" s="817"/>
      <c r="DV24" s="817"/>
      <c r="DW24" s="817"/>
      <c r="DX24" s="817"/>
      <c r="DY24" s="817"/>
      <c r="DZ24" s="817"/>
      <c r="EA24" s="817"/>
      <c r="EB24" s="817"/>
      <c r="EC24" s="817"/>
      <c r="ED24" s="817"/>
      <c r="EE24" s="817"/>
      <c r="EF24" s="817"/>
      <c r="EG24" s="817"/>
      <c r="EH24" s="817"/>
      <c r="EI24" s="817"/>
      <c r="EJ24" s="817"/>
      <c r="EK24" s="817"/>
      <c r="EL24" s="817"/>
      <c r="EM24" s="817"/>
      <c r="EN24" s="817"/>
      <c r="EO24" s="817"/>
      <c r="EP24" s="817"/>
      <c r="EQ24" s="817"/>
      <c r="ER24" s="817"/>
      <c r="ES24" s="817"/>
      <c r="ET24" s="817"/>
      <c r="EU24" s="817"/>
      <c r="EV24" s="817"/>
      <c r="EW24" s="817"/>
      <c r="EX24" s="817"/>
      <c r="EY24" s="817"/>
      <c r="EZ24" s="817"/>
      <c r="FA24" s="817"/>
      <c r="FB24" s="817"/>
      <c r="FC24" s="817"/>
      <c r="FD24" s="817"/>
      <c r="FE24" s="817"/>
      <c r="FF24" s="817"/>
      <c r="FG24" s="817"/>
      <c r="FH24" s="817"/>
      <c r="FI24" s="817"/>
      <c r="FJ24" s="817"/>
      <c r="FK24" s="817"/>
      <c r="FL24" s="818">
        <f t="shared" si="0"/>
        <v>0</v>
      </c>
      <c r="FM24" s="818">
        <f t="shared" si="1"/>
        <v>0</v>
      </c>
    </row>
    <row r="25" spans="1:169">
      <c r="A25" s="816" t="s">
        <v>1356</v>
      </c>
      <c r="B25" s="817"/>
      <c r="C25" s="817"/>
      <c r="D25" s="817"/>
      <c r="E25" s="817"/>
      <c r="F25" s="817"/>
      <c r="G25" s="817"/>
      <c r="H25" s="817"/>
      <c r="I25" s="817"/>
      <c r="J25" s="817"/>
      <c r="K25" s="817"/>
      <c r="L25" s="817"/>
      <c r="M25" s="817"/>
      <c r="N25" s="817">
        <f>157893.384-1589.855</f>
        <v>156303.52899999998</v>
      </c>
      <c r="O25" s="817">
        <f>157842.825-1589.855</f>
        <v>156252.97</v>
      </c>
      <c r="P25" s="817"/>
      <c r="Q25" s="817"/>
      <c r="R25" s="817"/>
      <c r="S25" s="817"/>
      <c r="T25" s="817"/>
      <c r="U25" s="817"/>
      <c r="V25" s="817"/>
      <c r="W25" s="817"/>
      <c r="X25" s="817"/>
      <c r="Y25" s="817"/>
      <c r="Z25" s="817"/>
      <c r="AA25" s="817"/>
      <c r="AB25" s="817"/>
      <c r="AC25" s="817"/>
      <c r="AD25" s="817"/>
      <c r="AE25" s="817"/>
      <c r="AF25" s="817"/>
      <c r="AG25" s="817"/>
      <c r="AH25" s="817"/>
      <c r="AI25" s="817"/>
      <c r="AJ25" s="817"/>
      <c r="AK25" s="817"/>
      <c r="AL25" s="817"/>
      <c r="AM25" s="817"/>
      <c r="AN25" s="817"/>
      <c r="AO25" s="817"/>
      <c r="AP25" s="817"/>
      <c r="AQ25" s="817"/>
      <c r="AR25" s="817"/>
      <c r="AS25" s="817"/>
      <c r="AT25" s="817"/>
      <c r="AU25" s="817"/>
      <c r="AV25" s="817"/>
      <c r="AW25" s="817"/>
      <c r="AX25" s="817"/>
      <c r="AY25" s="817"/>
      <c r="AZ25" s="817"/>
      <c r="BA25" s="817"/>
      <c r="BB25" s="817"/>
      <c r="BC25" s="817"/>
      <c r="BD25" s="817"/>
      <c r="BE25" s="817"/>
      <c r="BF25" s="817"/>
      <c r="BG25" s="817"/>
      <c r="BH25" s="817"/>
      <c r="BI25" s="817"/>
      <c r="BJ25" s="817"/>
      <c r="BK25" s="817"/>
      <c r="BL25" s="817"/>
      <c r="BM25" s="817"/>
      <c r="BN25" s="817"/>
      <c r="BO25" s="817"/>
      <c r="BP25" s="817"/>
      <c r="BQ25" s="817"/>
      <c r="BR25" s="817"/>
      <c r="BS25" s="817"/>
      <c r="BT25" s="817"/>
      <c r="BU25" s="817"/>
      <c r="BV25" s="817"/>
      <c r="BW25" s="817"/>
      <c r="BX25" s="817"/>
      <c r="BY25" s="817"/>
      <c r="BZ25" s="817">
        <v>1589.855</v>
      </c>
      <c r="CA25" s="817">
        <v>1589.855</v>
      </c>
      <c r="CB25" s="817"/>
      <c r="CC25" s="817"/>
      <c r="CD25" s="817"/>
      <c r="CE25" s="817"/>
      <c r="CF25" s="817"/>
      <c r="CG25" s="817"/>
      <c r="CH25" s="817"/>
      <c r="CI25" s="817"/>
      <c r="CJ25" s="817"/>
      <c r="CK25" s="817"/>
      <c r="CL25" s="817"/>
      <c r="CM25" s="817"/>
      <c r="CN25" s="817"/>
      <c r="CO25" s="817"/>
      <c r="CP25" s="817"/>
      <c r="CQ25" s="817"/>
      <c r="CR25" s="817"/>
      <c r="CS25" s="817"/>
      <c r="CT25" s="817"/>
      <c r="CU25" s="817"/>
      <c r="CV25" s="817"/>
      <c r="CW25" s="817"/>
      <c r="CX25" s="817"/>
      <c r="CY25" s="817"/>
      <c r="CZ25" s="817"/>
      <c r="DA25" s="817"/>
      <c r="DB25" s="817"/>
      <c r="DC25" s="817"/>
      <c r="DD25" s="817"/>
      <c r="DE25" s="817"/>
      <c r="DF25" s="817"/>
      <c r="DG25" s="817"/>
      <c r="DH25" s="817"/>
      <c r="DI25" s="817"/>
      <c r="DJ25" s="817"/>
      <c r="DK25" s="817"/>
      <c r="DL25" s="817"/>
      <c r="DM25" s="817"/>
      <c r="DN25" s="817"/>
      <c r="DO25" s="817"/>
      <c r="DP25" s="817"/>
      <c r="DQ25" s="817"/>
      <c r="DR25" s="817"/>
      <c r="DS25" s="817"/>
      <c r="DT25" s="817"/>
      <c r="DU25" s="817"/>
      <c r="DV25" s="817"/>
      <c r="DW25" s="817"/>
      <c r="DX25" s="817"/>
      <c r="DY25" s="817"/>
      <c r="DZ25" s="817"/>
      <c r="EA25" s="817"/>
      <c r="EB25" s="817"/>
      <c r="EC25" s="817"/>
      <c r="ED25" s="817"/>
      <c r="EE25" s="817"/>
      <c r="EF25" s="817"/>
      <c r="EG25" s="817"/>
      <c r="EH25" s="817"/>
      <c r="EI25" s="817"/>
      <c r="EJ25" s="817"/>
      <c r="EK25" s="817"/>
      <c r="EL25" s="817"/>
      <c r="EM25" s="817"/>
      <c r="EN25" s="817"/>
      <c r="EO25" s="817"/>
      <c r="EP25" s="817"/>
      <c r="EQ25" s="817"/>
      <c r="ER25" s="817"/>
      <c r="ES25" s="817"/>
      <c r="ET25" s="817"/>
      <c r="EU25" s="817"/>
      <c r="EV25" s="817"/>
      <c r="EW25" s="817"/>
      <c r="EX25" s="817"/>
      <c r="EY25" s="817"/>
      <c r="EZ25" s="817"/>
      <c r="FA25" s="817"/>
      <c r="FB25" s="817"/>
      <c r="FC25" s="817"/>
      <c r="FD25" s="817"/>
      <c r="FE25" s="817"/>
      <c r="FF25" s="817"/>
      <c r="FG25" s="817"/>
      <c r="FH25" s="817"/>
      <c r="FI25" s="817"/>
      <c r="FJ25" s="817"/>
      <c r="FK25" s="817"/>
      <c r="FL25" s="818">
        <f t="shared" si="0"/>
        <v>157893.38399999999</v>
      </c>
      <c r="FM25" s="818">
        <f t="shared" si="1"/>
        <v>157842.82500000001</v>
      </c>
    </row>
    <row r="26" spans="1:169">
      <c r="A26" s="816" t="s">
        <v>1357</v>
      </c>
      <c r="B26" s="817"/>
      <c r="C26" s="817"/>
      <c r="D26" s="817"/>
      <c r="E26" s="817"/>
      <c r="F26" s="817"/>
      <c r="G26" s="817"/>
      <c r="H26" s="817"/>
      <c r="I26" s="817"/>
      <c r="J26" s="817"/>
      <c r="K26" s="817"/>
      <c r="L26" s="817"/>
      <c r="M26" s="817"/>
      <c r="N26" s="817">
        <v>16292.444</v>
      </c>
      <c r="O26" s="817">
        <v>16264.317999999999</v>
      </c>
      <c r="P26" s="817">
        <v>184426.78099999999</v>
      </c>
      <c r="Q26" s="817">
        <v>172660.92800000001</v>
      </c>
      <c r="R26" s="817">
        <v>292041.85399999999</v>
      </c>
      <c r="S26" s="817">
        <v>197243.38200000001</v>
      </c>
      <c r="T26" s="817"/>
      <c r="U26" s="817"/>
      <c r="V26" s="817"/>
      <c r="W26" s="817"/>
      <c r="X26" s="817"/>
      <c r="Y26" s="817"/>
      <c r="Z26" s="817"/>
      <c r="AA26" s="817"/>
      <c r="AB26" s="817"/>
      <c r="AC26" s="817"/>
      <c r="AD26" s="817"/>
      <c r="AE26" s="817"/>
      <c r="AF26" s="817"/>
      <c r="AG26" s="817"/>
      <c r="AH26" s="817"/>
      <c r="AI26" s="817"/>
      <c r="AJ26" s="817"/>
      <c r="AK26" s="817"/>
      <c r="AL26" s="817"/>
      <c r="AM26" s="817"/>
      <c r="AN26" s="817"/>
      <c r="AO26" s="817"/>
      <c r="AP26" s="817"/>
      <c r="AQ26" s="817"/>
      <c r="AR26" s="817"/>
      <c r="AS26" s="817"/>
      <c r="AT26" s="817"/>
      <c r="AU26" s="817"/>
      <c r="AV26" s="817"/>
      <c r="AW26" s="817"/>
      <c r="AX26" s="817"/>
      <c r="AY26" s="817"/>
      <c r="AZ26" s="817"/>
      <c r="BA26" s="817"/>
      <c r="BB26" s="817"/>
      <c r="BC26" s="817"/>
      <c r="BD26" s="817"/>
      <c r="BE26" s="817"/>
      <c r="BF26" s="817"/>
      <c r="BG26" s="817"/>
      <c r="BH26" s="817"/>
      <c r="BI26" s="817"/>
      <c r="BJ26" s="817"/>
      <c r="BK26" s="817"/>
      <c r="BL26" s="817"/>
      <c r="BM26" s="817"/>
      <c r="BN26" s="817"/>
      <c r="BO26" s="817"/>
      <c r="BP26" s="817"/>
      <c r="BQ26" s="817"/>
      <c r="BR26" s="817"/>
      <c r="BS26" s="817"/>
      <c r="BT26" s="817"/>
      <c r="BU26" s="817"/>
      <c r="BV26" s="817"/>
      <c r="BW26" s="817"/>
      <c r="BX26" s="817"/>
      <c r="BY26" s="817"/>
      <c r="BZ26" s="817">
        <v>3882.3490000000002</v>
      </c>
      <c r="CA26" s="817">
        <v>3881.4659999999999</v>
      </c>
      <c r="CB26" s="817">
        <v>23197</v>
      </c>
      <c r="CC26" s="817">
        <v>22237.288</v>
      </c>
      <c r="CD26" s="817"/>
      <c r="CE26" s="817"/>
      <c r="CF26" s="817"/>
      <c r="CG26" s="817"/>
      <c r="CH26" s="817"/>
      <c r="CI26" s="817"/>
      <c r="CJ26" s="817"/>
      <c r="CK26" s="817"/>
      <c r="CL26" s="817"/>
      <c r="CM26" s="817"/>
      <c r="CN26" s="817"/>
      <c r="CO26" s="817"/>
      <c r="CP26" s="817"/>
      <c r="CQ26" s="817"/>
      <c r="CR26" s="817"/>
      <c r="CS26" s="817"/>
      <c r="CT26" s="817"/>
      <c r="CU26" s="817"/>
      <c r="CV26" s="817"/>
      <c r="CW26" s="817"/>
      <c r="CX26" s="817"/>
      <c r="CY26" s="817"/>
      <c r="CZ26" s="817"/>
      <c r="DA26" s="817"/>
      <c r="DB26" s="817"/>
      <c r="DC26" s="817"/>
      <c r="DD26" s="817"/>
      <c r="DE26" s="817"/>
      <c r="DF26" s="817"/>
      <c r="DG26" s="817"/>
      <c r="DH26" s="817"/>
      <c r="DI26" s="817"/>
      <c r="DJ26" s="817"/>
      <c r="DK26" s="817"/>
      <c r="DL26" s="817"/>
      <c r="DM26" s="817"/>
      <c r="DN26" s="817"/>
      <c r="DO26" s="817"/>
      <c r="DP26" s="817"/>
      <c r="DQ26" s="817"/>
      <c r="DR26" s="817"/>
      <c r="DS26" s="817"/>
      <c r="DT26" s="817"/>
      <c r="DU26" s="817"/>
      <c r="DV26" s="817"/>
      <c r="DW26" s="817"/>
      <c r="DX26" s="817"/>
      <c r="DY26" s="817"/>
      <c r="DZ26" s="817"/>
      <c r="EA26" s="817"/>
      <c r="EB26" s="817"/>
      <c r="EC26" s="817"/>
      <c r="ED26" s="817"/>
      <c r="EE26" s="817"/>
      <c r="EF26" s="817"/>
      <c r="EG26" s="817"/>
      <c r="EH26" s="817"/>
      <c r="EI26" s="817"/>
      <c r="EJ26" s="817"/>
      <c r="EK26" s="817"/>
      <c r="EL26" s="817"/>
      <c r="EM26" s="817"/>
      <c r="EN26" s="817"/>
      <c r="EO26" s="817"/>
      <c r="EP26" s="817"/>
      <c r="EQ26" s="817"/>
      <c r="ER26" s="817"/>
      <c r="ES26" s="817"/>
      <c r="ET26" s="817"/>
      <c r="EU26" s="817"/>
      <c r="EV26" s="817"/>
      <c r="EW26" s="817"/>
      <c r="EX26" s="817"/>
      <c r="EY26" s="817"/>
      <c r="EZ26" s="817"/>
      <c r="FA26" s="817"/>
      <c r="FB26" s="817"/>
      <c r="FC26" s="817"/>
      <c r="FD26" s="817"/>
      <c r="FE26" s="817"/>
      <c r="FF26" s="817"/>
      <c r="FG26" s="817"/>
      <c r="FH26" s="817"/>
      <c r="FI26" s="817"/>
      <c r="FJ26" s="817"/>
      <c r="FK26" s="817"/>
      <c r="FL26" s="818">
        <f t="shared" si="0"/>
        <v>519840.42799999996</v>
      </c>
      <c r="FM26" s="818">
        <f t="shared" si="1"/>
        <v>412287.38200000004</v>
      </c>
    </row>
    <row r="27" spans="1:169">
      <c r="A27" s="816" t="s">
        <v>1358</v>
      </c>
      <c r="B27" s="817"/>
      <c r="C27" s="817"/>
      <c r="D27" s="817"/>
      <c r="E27" s="817"/>
      <c r="F27" s="817"/>
      <c r="G27" s="817"/>
      <c r="H27" s="817"/>
      <c r="I27" s="817"/>
      <c r="J27" s="817"/>
      <c r="K27" s="817"/>
      <c r="L27" s="817"/>
      <c r="M27" s="817"/>
      <c r="N27" s="817"/>
      <c r="O27" s="817"/>
      <c r="P27" s="817"/>
      <c r="Q27" s="817"/>
      <c r="R27" s="817"/>
      <c r="S27" s="817"/>
      <c r="T27" s="817">
        <f>113551.023-893.29-589.8</f>
        <v>112067.933</v>
      </c>
      <c r="U27" s="817">
        <f>113395.631-893.29-589.8</f>
        <v>111912.541</v>
      </c>
      <c r="V27" s="817"/>
      <c r="W27" s="817"/>
      <c r="X27" s="817">
        <v>589.79999999999995</v>
      </c>
      <c r="Y27" s="817">
        <v>589.79999999999995</v>
      </c>
      <c r="Z27" s="817"/>
      <c r="AA27" s="817"/>
      <c r="AB27" s="817"/>
      <c r="AC27" s="817"/>
      <c r="AD27" s="817"/>
      <c r="AE27" s="817"/>
      <c r="AF27" s="817"/>
      <c r="AG27" s="817"/>
      <c r="AH27" s="817"/>
      <c r="AI27" s="817"/>
      <c r="AJ27" s="817"/>
      <c r="AK27" s="817"/>
      <c r="AL27" s="817"/>
      <c r="AM27" s="817"/>
      <c r="AN27" s="817"/>
      <c r="AO27" s="817"/>
      <c r="AP27" s="817"/>
      <c r="AQ27" s="817"/>
      <c r="AR27" s="817"/>
      <c r="AS27" s="817"/>
      <c r="AT27" s="817"/>
      <c r="AU27" s="817"/>
      <c r="AV27" s="817"/>
      <c r="AW27" s="817"/>
      <c r="AX27" s="817"/>
      <c r="AY27" s="817"/>
      <c r="AZ27" s="817"/>
      <c r="BA27" s="817"/>
      <c r="BB27" s="817"/>
      <c r="BC27" s="817"/>
      <c r="BD27" s="817"/>
      <c r="BE27" s="817"/>
      <c r="BF27" s="817"/>
      <c r="BG27" s="817"/>
      <c r="BH27" s="817"/>
      <c r="BI27" s="817"/>
      <c r="BJ27" s="817"/>
      <c r="BK27" s="817"/>
      <c r="BL27" s="817"/>
      <c r="BM27" s="817"/>
      <c r="BN27" s="817"/>
      <c r="BO27" s="817"/>
      <c r="BP27" s="817"/>
      <c r="BQ27" s="817"/>
      <c r="BR27" s="817"/>
      <c r="BS27" s="817"/>
      <c r="BT27" s="817"/>
      <c r="BU27" s="817"/>
      <c r="BV27" s="817"/>
      <c r="BW27" s="817"/>
      <c r="BX27" s="817"/>
      <c r="BY27" s="817"/>
      <c r="BZ27" s="817">
        <v>893.29</v>
      </c>
      <c r="CA27" s="817">
        <v>893.29</v>
      </c>
      <c r="CB27" s="817"/>
      <c r="CC27" s="817"/>
      <c r="CD27" s="817"/>
      <c r="CE27" s="817"/>
      <c r="CF27" s="817"/>
      <c r="CG27" s="817"/>
      <c r="CH27" s="817"/>
      <c r="CI27" s="817"/>
      <c r="CJ27" s="817"/>
      <c r="CK27" s="817"/>
      <c r="CL27" s="817"/>
      <c r="CM27" s="817"/>
      <c r="CN27" s="817"/>
      <c r="CO27" s="817"/>
      <c r="CP27" s="817"/>
      <c r="CQ27" s="817"/>
      <c r="CR27" s="817"/>
      <c r="CS27" s="817"/>
      <c r="CT27" s="817"/>
      <c r="CU27" s="817"/>
      <c r="CV27" s="817"/>
      <c r="CW27" s="817"/>
      <c r="CX27" s="817"/>
      <c r="CY27" s="817"/>
      <c r="CZ27" s="817"/>
      <c r="DA27" s="817"/>
      <c r="DB27" s="817"/>
      <c r="DC27" s="817"/>
      <c r="DD27" s="817"/>
      <c r="DE27" s="817"/>
      <c r="DF27" s="817"/>
      <c r="DG27" s="817"/>
      <c r="DH27" s="817"/>
      <c r="DI27" s="817"/>
      <c r="DJ27" s="817"/>
      <c r="DK27" s="817"/>
      <c r="DL27" s="817"/>
      <c r="DM27" s="817"/>
      <c r="DN27" s="817"/>
      <c r="DO27" s="817"/>
      <c r="DP27" s="817"/>
      <c r="DQ27" s="817"/>
      <c r="DR27" s="817"/>
      <c r="DS27" s="817"/>
      <c r="DT27" s="817"/>
      <c r="DU27" s="817"/>
      <c r="DV27" s="817"/>
      <c r="DW27" s="817"/>
      <c r="DX27" s="817"/>
      <c r="DY27" s="817"/>
      <c r="DZ27" s="817"/>
      <c r="EA27" s="817"/>
      <c r="EB27" s="817"/>
      <c r="EC27" s="817"/>
      <c r="ED27" s="817"/>
      <c r="EE27" s="817"/>
      <c r="EF27" s="817"/>
      <c r="EG27" s="817"/>
      <c r="EH27" s="817"/>
      <c r="EI27" s="817"/>
      <c r="EJ27" s="817"/>
      <c r="EK27" s="817"/>
      <c r="EL27" s="817"/>
      <c r="EM27" s="817"/>
      <c r="EN27" s="817"/>
      <c r="EO27" s="817"/>
      <c r="EP27" s="817"/>
      <c r="EQ27" s="817"/>
      <c r="ER27" s="817"/>
      <c r="ES27" s="817"/>
      <c r="ET27" s="817"/>
      <c r="EU27" s="817"/>
      <c r="EV27" s="817"/>
      <c r="EW27" s="817"/>
      <c r="EX27" s="817"/>
      <c r="EY27" s="817"/>
      <c r="EZ27" s="817"/>
      <c r="FA27" s="817"/>
      <c r="FB27" s="817"/>
      <c r="FC27" s="817"/>
      <c r="FD27" s="817"/>
      <c r="FE27" s="817"/>
      <c r="FF27" s="817"/>
      <c r="FG27" s="817"/>
      <c r="FH27" s="817"/>
      <c r="FI27" s="817"/>
      <c r="FJ27" s="817"/>
      <c r="FK27" s="817"/>
      <c r="FL27" s="818">
        <f t="shared" si="0"/>
        <v>113551.023</v>
      </c>
      <c r="FM27" s="818">
        <f t="shared" si="1"/>
        <v>113395.63099999999</v>
      </c>
    </row>
    <row r="28" spans="1:169">
      <c r="A28" s="816" t="s">
        <v>1359</v>
      </c>
      <c r="B28" s="817"/>
      <c r="C28" s="817"/>
      <c r="D28" s="817"/>
      <c r="E28" s="817"/>
      <c r="F28" s="817"/>
      <c r="G28" s="817"/>
      <c r="H28" s="817"/>
      <c r="I28" s="817"/>
      <c r="J28" s="817"/>
      <c r="K28" s="817"/>
      <c r="L28" s="817"/>
      <c r="M28" s="817"/>
      <c r="N28" s="817"/>
      <c r="O28" s="817"/>
      <c r="P28" s="817"/>
      <c r="Q28" s="817"/>
      <c r="R28" s="817"/>
      <c r="S28" s="817"/>
      <c r="T28" s="817"/>
      <c r="U28" s="817"/>
      <c r="V28" s="817"/>
      <c r="W28" s="817"/>
      <c r="X28" s="817"/>
      <c r="Y28" s="817"/>
      <c r="Z28" s="817"/>
      <c r="AA28" s="817"/>
      <c r="AB28" s="817"/>
      <c r="AC28" s="817"/>
      <c r="AD28" s="817"/>
      <c r="AE28" s="817"/>
      <c r="AF28" s="817"/>
      <c r="AG28" s="817"/>
      <c r="AH28" s="817"/>
      <c r="AI28" s="817"/>
      <c r="AJ28" s="817"/>
      <c r="AK28" s="817"/>
      <c r="AL28" s="817"/>
      <c r="AM28" s="817"/>
      <c r="AN28" s="817"/>
      <c r="AO28" s="817"/>
      <c r="AP28" s="817"/>
      <c r="AQ28" s="817"/>
      <c r="AR28" s="817"/>
      <c r="AS28" s="817"/>
      <c r="AT28" s="817"/>
      <c r="AU28" s="817"/>
      <c r="AV28" s="817"/>
      <c r="AW28" s="817"/>
      <c r="AX28" s="817"/>
      <c r="AY28" s="817"/>
      <c r="AZ28" s="817"/>
      <c r="BA28" s="817"/>
      <c r="BB28" s="817"/>
      <c r="BC28" s="817"/>
      <c r="BD28" s="817"/>
      <c r="BE28" s="817"/>
      <c r="BF28" s="817"/>
      <c r="BG28" s="817"/>
      <c r="BH28" s="817"/>
      <c r="BI28" s="817"/>
      <c r="BJ28" s="817"/>
      <c r="BK28" s="817"/>
      <c r="BL28" s="817"/>
      <c r="BM28" s="817"/>
      <c r="BN28" s="817"/>
      <c r="BO28" s="817"/>
      <c r="BP28" s="817"/>
      <c r="BQ28" s="817"/>
      <c r="BR28" s="817"/>
      <c r="BS28" s="817"/>
      <c r="BT28" s="817"/>
      <c r="BU28" s="817"/>
      <c r="BV28" s="817"/>
      <c r="BW28" s="817"/>
      <c r="BX28" s="817">
        <v>350.11099999999999</v>
      </c>
      <c r="BY28" s="817">
        <v>350.11099999999999</v>
      </c>
      <c r="BZ28" s="817"/>
      <c r="CA28" s="817"/>
      <c r="CB28" s="817"/>
      <c r="CC28" s="817"/>
      <c r="CD28" s="817"/>
      <c r="CE28" s="817"/>
      <c r="CF28" s="817"/>
      <c r="CG28" s="817"/>
      <c r="CH28" s="817"/>
      <c r="CI28" s="817"/>
      <c r="CJ28" s="817"/>
      <c r="CK28" s="817"/>
      <c r="CL28" s="817"/>
      <c r="CM28" s="817"/>
      <c r="CN28" s="817"/>
      <c r="CO28" s="817"/>
      <c r="CP28" s="817"/>
      <c r="CQ28" s="817"/>
      <c r="CR28" s="817"/>
      <c r="CS28" s="817"/>
      <c r="CT28" s="817"/>
      <c r="CU28" s="817"/>
      <c r="CV28" s="817"/>
      <c r="CW28" s="817"/>
      <c r="CX28" s="817"/>
      <c r="CY28" s="817"/>
      <c r="CZ28" s="817"/>
      <c r="DA28" s="817"/>
      <c r="DB28" s="817"/>
      <c r="DC28" s="817"/>
      <c r="DD28" s="817"/>
      <c r="DE28" s="817"/>
      <c r="DF28" s="817"/>
      <c r="DG28" s="817"/>
      <c r="DH28" s="817"/>
      <c r="DI28" s="817"/>
      <c r="DJ28" s="817"/>
      <c r="DK28" s="817"/>
      <c r="DL28" s="817"/>
      <c r="DM28" s="817"/>
      <c r="DN28" s="817"/>
      <c r="DO28" s="817"/>
      <c r="DP28" s="817"/>
      <c r="DQ28" s="817"/>
      <c r="DR28" s="817"/>
      <c r="DS28" s="817"/>
      <c r="DT28" s="817"/>
      <c r="DU28" s="817"/>
      <c r="DV28" s="817"/>
      <c r="DW28" s="817"/>
      <c r="DX28" s="817"/>
      <c r="DY28" s="817"/>
      <c r="DZ28" s="817"/>
      <c r="EA28" s="817"/>
      <c r="EB28" s="817"/>
      <c r="EC28" s="817"/>
      <c r="ED28" s="817"/>
      <c r="EE28" s="817"/>
      <c r="EF28" s="817"/>
      <c r="EG28" s="817"/>
      <c r="EH28" s="817"/>
      <c r="EI28" s="817"/>
      <c r="EJ28" s="817"/>
      <c r="EK28" s="817"/>
      <c r="EL28" s="817"/>
      <c r="EM28" s="817"/>
      <c r="EN28" s="817"/>
      <c r="EO28" s="817"/>
      <c r="EP28" s="817"/>
      <c r="EQ28" s="817"/>
      <c r="ER28" s="817"/>
      <c r="ES28" s="817"/>
      <c r="ET28" s="817"/>
      <c r="EU28" s="817"/>
      <c r="EV28" s="817"/>
      <c r="EW28" s="817"/>
      <c r="EX28" s="817"/>
      <c r="EY28" s="817"/>
      <c r="EZ28" s="817"/>
      <c r="FA28" s="817"/>
      <c r="FB28" s="817"/>
      <c r="FC28" s="817"/>
      <c r="FD28" s="817"/>
      <c r="FE28" s="817"/>
      <c r="FF28" s="817"/>
      <c r="FG28" s="817"/>
      <c r="FH28" s="817"/>
      <c r="FI28" s="817"/>
      <c r="FJ28" s="817"/>
      <c r="FK28" s="817"/>
      <c r="FL28" s="818">
        <f t="shared" si="0"/>
        <v>350.11099999999999</v>
      </c>
      <c r="FM28" s="818">
        <f t="shared" si="1"/>
        <v>350.11099999999999</v>
      </c>
    </row>
    <row r="29" spans="1:169">
      <c r="A29" s="816" t="s">
        <v>1360</v>
      </c>
      <c r="B29" s="817"/>
      <c r="C29" s="817"/>
      <c r="D29" s="817"/>
      <c r="E29" s="817"/>
      <c r="F29" s="817"/>
      <c r="G29" s="817"/>
      <c r="H29" s="817"/>
      <c r="I29" s="817"/>
      <c r="J29" s="817"/>
      <c r="K29" s="817"/>
      <c r="L29" s="817"/>
      <c r="M29" s="817"/>
      <c r="N29" s="817"/>
      <c r="O29" s="817"/>
      <c r="P29" s="817"/>
      <c r="Q29" s="817"/>
      <c r="R29" s="817"/>
      <c r="S29" s="817"/>
      <c r="T29" s="817"/>
      <c r="U29" s="817"/>
      <c r="V29" s="817"/>
      <c r="W29" s="817"/>
      <c r="X29" s="817"/>
      <c r="Y29" s="817"/>
      <c r="Z29" s="817"/>
      <c r="AA29" s="817"/>
      <c r="AB29" s="817"/>
      <c r="AC29" s="817"/>
      <c r="AD29" s="817"/>
      <c r="AE29" s="817"/>
      <c r="AF29" s="817"/>
      <c r="AG29" s="817"/>
      <c r="AH29" s="817"/>
      <c r="AI29" s="817"/>
      <c r="AJ29" s="817"/>
      <c r="AK29" s="817"/>
      <c r="AL29" s="817"/>
      <c r="AM29" s="817"/>
      <c r="AN29" s="817"/>
      <c r="AO29" s="817"/>
      <c r="AP29" s="817"/>
      <c r="AQ29" s="817"/>
      <c r="AR29" s="817"/>
      <c r="AS29" s="817"/>
      <c r="AT29" s="817">
        <v>223.375</v>
      </c>
      <c r="AU29" s="817">
        <v>223.375</v>
      </c>
      <c r="AV29" s="817"/>
      <c r="AW29" s="817"/>
      <c r="AX29" s="817"/>
      <c r="AY29" s="817"/>
      <c r="AZ29" s="817"/>
      <c r="BA29" s="817"/>
      <c r="BB29" s="817"/>
      <c r="BC29" s="817"/>
      <c r="BD29" s="817"/>
      <c r="BE29" s="817"/>
      <c r="BF29" s="817"/>
      <c r="BG29" s="817"/>
      <c r="BH29" s="817"/>
      <c r="BI29" s="817"/>
      <c r="BJ29" s="817"/>
      <c r="BK29" s="817"/>
      <c r="BL29" s="817"/>
      <c r="BM29" s="817"/>
      <c r="BN29" s="817"/>
      <c r="BO29" s="817"/>
      <c r="BP29" s="817"/>
      <c r="BQ29" s="817"/>
      <c r="BR29" s="817"/>
      <c r="BS29" s="817"/>
      <c r="BT29" s="817"/>
      <c r="BU29" s="817"/>
      <c r="BV29" s="817"/>
      <c r="BW29" s="817"/>
      <c r="BX29" s="817"/>
      <c r="BY29" s="817"/>
      <c r="BZ29" s="817"/>
      <c r="CA29" s="817"/>
      <c r="CB29" s="817"/>
      <c r="CC29" s="817"/>
      <c r="CD29" s="817"/>
      <c r="CE29" s="817"/>
      <c r="CF29" s="817"/>
      <c r="CG29" s="817"/>
      <c r="CH29" s="817"/>
      <c r="CI29" s="817"/>
      <c r="CJ29" s="817"/>
      <c r="CK29" s="817"/>
      <c r="CL29" s="817"/>
      <c r="CM29" s="817"/>
      <c r="CN29" s="817"/>
      <c r="CO29" s="817"/>
      <c r="CP29" s="817"/>
      <c r="CQ29" s="817"/>
      <c r="CR29" s="817"/>
      <c r="CS29" s="817"/>
      <c r="CT29" s="817"/>
      <c r="CU29" s="817"/>
      <c r="CV29" s="817"/>
      <c r="CW29" s="817"/>
      <c r="CX29" s="817"/>
      <c r="CY29" s="817"/>
      <c r="CZ29" s="817"/>
      <c r="DA29" s="817"/>
      <c r="DB29" s="817"/>
      <c r="DC29" s="817"/>
      <c r="DD29" s="817"/>
      <c r="DE29" s="817"/>
      <c r="DF29" s="817"/>
      <c r="DG29" s="817"/>
      <c r="DH29" s="817"/>
      <c r="DI29" s="817"/>
      <c r="DJ29" s="817"/>
      <c r="DK29" s="817"/>
      <c r="DL29" s="817"/>
      <c r="DM29" s="817"/>
      <c r="DN29" s="817"/>
      <c r="DO29" s="817"/>
      <c r="DP29" s="817"/>
      <c r="DQ29" s="817"/>
      <c r="DR29" s="817"/>
      <c r="DS29" s="817"/>
      <c r="DT29" s="817"/>
      <c r="DU29" s="817"/>
      <c r="DV29" s="817"/>
      <c r="DW29" s="817"/>
      <c r="DX29" s="817"/>
      <c r="DY29" s="817"/>
      <c r="DZ29" s="817"/>
      <c r="EA29" s="817"/>
      <c r="EB29" s="817"/>
      <c r="EC29" s="817"/>
      <c r="ED29" s="817"/>
      <c r="EE29" s="817"/>
      <c r="EF29" s="817"/>
      <c r="EG29" s="817"/>
      <c r="EH29" s="817"/>
      <c r="EI29" s="817"/>
      <c r="EJ29" s="817"/>
      <c r="EK29" s="817"/>
      <c r="EL29" s="817"/>
      <c r="EM29" s="817"/>
      <c r="EN29" s="817"/>
      <c r="EO29" s="817"/>
      <c r="EP29" s="817"/>
      <c r="EQ29" s="817"/>
      <c r="ER29" s="817"/>
      <c r="ES29" s="817"/>
      <c r="ET29" s="817"/>
      <c r="EU29" s="817"/>
      <c r="EV29" s="817"/>
      <c r="EW29" s="817"/>
      <c r="EX29" s="817"/>
      <c r="EY29" s="817"/>
      <c r="EZ29" s="817"/>
      <c r="FA29" s="817"/>
      <c r="FB29" s="817"/>
      <c r="FC29" s="817"/>
      <c r="FD29" s="817"/>
      <c r="FE29" s="817"/>
      <c r="FF29" s="817"/>
      <c r="FG29" s="817"/>
      <c r="FH29" s="817"/>
      <c r="FI29" s="817"/>
      <c r="FJ29" s="817"/>
      <c r="FK29" s="817"/>
      <c r="FL29" s="818">
        <f t="shared" si="0"/>
        <v>223.375</v>
      </c>
      <c r="FM29" s="818">
        <f t="shared" si="1"/>
        <v>223.375</v>
      </c>
    </row>
    <row r="30" spans="1:169">
      <c r="A30" s="816" t="s">
        <v>1361</v>
      </c>
      <c r="B30" s="817"/>
      <c r="C30" s="817"/>
      <c r="D30" s="817"/>
      <c r="E30" s="817"/>
      <c r="F30" s="817"/>
      <c r="G30" s="817"/>
      <c r="H30" s="817"/>
      <c r="I30" s="817"/>
      <c r="J30" s="817"/>
      <c r="K30" s="817"/>
      <c r="L30" s="817"/>
      <c r="M30" s="817"/>
      <c r="N30" s="817"/>
      <c r="O30" s="817"/>
      <c r="P30" s="817"/>
      <c r="Q30" s="817"/>
      <c r="R30" s="817"/>
      <c r="S30" s="817"/>
      <c r="T30" s="817"/>
      <c r="U30" s="817"/>
      <c r="V30" s="817">
        <v>9271.34</v>
      </c>
      <c r="W30" s="817">
        <v>9269.9779999999992</v>
      </c>
      <c r="X30" s="817">
        <v>319.39999999999998</v>
      </c>
      <c r="Y30" s="817">
        <v>319.39999999999998</v>
      </c>
      <c r="Z30" s="817"/>
      <c r="AA30" s="817"/>
      <c r="AB30" s="817"/>
      <c r="AC30" s="817"/>
      <c r="AD30" s="817"/>
      <c r="AE30" s="817"/>
      <c r="AF30" s="817"/>
      <c r="AG30" s="817"/>
      <c r="AH30" s="817"/>
      <c r="AI30" s="817"/>
      <c r="AJ30" s="817"/>
      <c r="AK30" s="817"/>
      <c r="AL30" s="817"/>
      <c r="AM30" s="817"/>
      <c r="AN30" s="817"/>
      <c r="AO30" s="817"/>
      <c r="AP30" s="817"/>
      <c r="AQ30" s="817"/>
      <c r="AR30" s="817"/>
      <c r="AS30" s="817"/>
      <c r="AT30" s="817"/>
      <c r="AU30" s="817"/>
      <c r="AV30" s="817"/>
      <c r="AW30" s="817"/>
      <c r="AX30" s="817"/>
      <c r="AY30" s="817"/>
      <c r="AZ30" s="817"/>
      <c r="BA30" s="817"/>
      <c r="BB30" s="817"/>
      <c r="BC30" s="817"/>
      <c r="BD30" s="817"/>
      <c r="BE30" s="817"/>
      <c r="BF30" s="817"/>
      <c r="BG30" s="817"/>
      <c r="BH30" s="817"/>
      <c r="BI30" s="817"/>
      <c r="BJ30" s="817"/>
      <c r="BK30" s="817"/>
      <c r="BL30" s="817">
        <f>63.369+7541.761+9.761</f>
        <v>7614.8910000000005</v>
      </c>
      <c r="BM30" s="817">
        <f>63.369+7447.532+9.761</f>
        <v>7520.6620000000003</v>
      </c>
      <c r="BN30" s="817">
        <f>209.831+16798.775</f>
        <v>17008.606</v>
      </c>
      <c r="BO30" s="817">
        <f>209.831+16767.143</f>
        <v>16976.973999999998</v>
      </c>
      <c r="BP30" s="817"/>
      <c r="BQ30" s="817"/>
      <c r="BR30" s="817"/>
      <c r="BS30" s="817"/>
      <c r="BT30" s="817"/>
      <c r="BU30" s="817"/>
      <c r="BV30" s="817"/>
      <c r="BW30" s="817"/>
      <c r="BX30" s="817"/>
      <c r="BY30" s="817"/>
      <c r="BZ30" s="817">
        <v>422.81299999999999</v>
      </c>
      <c r="CA30" s="817">
        <v>422.81299999999999</v>
      </c>
      <c r="CB30" s="817"/>
      <c r="CC30" s="817"/>
      <c r="CD30" s="817"/>
      <c r="CE30" s="817"/>
      <c r="CF30" s="817"/>
      <c r="CG30" s="817"/>
      <c r="CH30" s="817"/>
      <c r="CI30" s="817"/>
      <c r="CJ30" s="817"/>
      <c r="CK30" s="817"/>
      <c r="CL30" s="817"/>
      <c r="CM30" s="817"/>
      <c r="CN30" s="817"/>
      <c r="CO30" s="817"/>
      <c r="CP30" s="817"/>
      <c r="CQ30" s="817"/>
      <c r="CR30" s="817"/>
      <c r="CS30" s="817"/>
      <c r="CT30" s="817"/>
      <c r="CU30" s="817"/>
      <c r="CV30" s="817"/>
      <c r="CW30" s="817"/>
      <c r="CX30" s="817"/>
      <c r="CY30" s="817"/>
      <c r="CZ30" s="817"/>
      <c r="DA30" s="817"/>
      <c r="DB30" s="817"/>
      <c r="DC30" s="817"/>
      <c r="DD30" s="817"/>
      <c r="DE30" s="817"/>
      <c r="DF30" s="817"/>
      <c r="DG30" s="817"/>
      <c r="DH30" s="817"/>
      <c r="DI30" s="817"/>
      <c r="DJ30" s="817"/>
      <c r="DK30" s="817"/>
      <c r="DL30" s="817"/>
      <c r="DM30" s="817"/>
      <c r="DN30" s="817"/>
      <c r="DO30" s="817"/>
      <c r="DP30" s="817"/>
      <c r="DQ30" s="817"/>
      <c r="DR30" s="817"/>
      <c r="DS30" s="817"/>
      <c r="DT30" s="817"/>
      <c r="DU30" s="817"/>
      <c r="DV30" s="817"/>
      <c r="DW30" s="817"/>
      <c r="DX30" s="817"/>
      <c r="DY30" s="817"/>
      <c r="DZ30" s="817"/>
      <c r="EA30" s="817"/>
      <c r="EB30" s="817"/>
      <c r="EC30" s="817"/>
      <c r="ED30" s="817"/>
      <c r="EE30" s="817"/>
      <c r="EF30" s="817"/>
      <c r="EG30" s="817"/>
      <c r="EH30" s="817"/>
      <c r="EI30" s="817"/>
      <c r="EJ30" s="817"/>
      <c r="EK30" s="817"/>
      <c r="EL30" s="817"/>
      <c r="EM30" s="817"/>
      <c r="EN30" s="817"/>
      <c r="EO30" s="817"/>
      <c r="EP30" s="817"/>
      <c r="EQ30" s="817"/>
      <c r="ER30" s="817"/>
      <c r="ES30" s="817"/>
      <c r="ET30" s="817"/>
      <c r="EU30" s="817"/>
      <c r="EV30" s="817"/>
      <c r="EW30" s="817"/>
      <c r="EX30" s="817"/>
      <c r="EY30" s="817"/>
      <c r="EZ30" s="817"/>
      <c r="FA30" s="817"/>
      <c r="FB30" s="817"/>
      <c r="FC30" s="817"/>
      <c r="FD30" s="817"/>
      <c r="FE30" s="817"/>
      <c r="FF30" s="817"/>
      <c r="FG30" s="817"/>
      <c r="FH30" s="817"/>
      <c r="FI30" s="817"/>
      <c r="FJ30" s="817"/>
      <c r="FK30" s="817"/>
      <c r="FL30" s="818">
        <f t="shared" si="0"/>
        <v>34637.050000000003</v>
      </c>
      <c r="FM30" s="818">
        <f t="shared" si="1"/>
        <v>34509.826999999997</v>
      </c>
    </row>
    <row r="31" spans="1:169" s="820" customFormat="1">
      <c r="A31" s="816" t="s">
        <v>1362</v>
      </c>
      <c r="B31" s="817"/>
      <c r="C31" s="817"/>
      <c r="D31" s="817"/>
      <c r="E31" s="817"/>
      <c r="F31" s="817"/>
      <c r="G31" s="817"/>
      <c r="H31" s="817"/>
      <c r="I31" s="817"/>
      <c r="J31" s="817"/>
      <c r="K31" s="817"/>
      <c r="L31" s="817"/>
      <c r="M31" s="817"/>
      <c r="N31" s="817"/>
      <c r="O31" s="817"/>
      <c r="P31" s="817"/>
      <c r="Q31" s="817"/>
      <c r="R31" s="817"/>
      <c r="S31" s="817"/>
      <c r="T31" s="817"/>
      <c r="U31" s="817"/>
      <c r="V31" s="817"/>
      <c r="W31" s="817"/>
      <c r="X31" s="817"/>
      <c r="Y31" s="817"/>
      <c r="Z31" s="817"/>
      <c r="AA31" s="817"/>
      <c r="AB31" s="817">
        <v>2351.3000000000002</v>
      </c>
      <c r="AC31" s="817">
        <v>2351.3000000000002</v>
      </c>
      <c r="AD31" s="817">
        <v>91596.695000000007</v>
      </c>
      <c r="AE31" s="817">
        <v>90529.576000000001</v>
      </c>
      <c r="AF31" s="817"/>
      <c r="AG31" s="817"/>
      <c r="AH31" s="817"/>
      <c r="AI31" s="817"/>
      <c r="AJ31" s="817"/>
      <c r="AK31" s="817"/>
      <c r="AL31" s="817"/>
      <c r="AM31" s="817"/>
      <c r="AN31" s="817"/>
      <c r="AO31" s="817"/>
      <c r="AP31" s="817"/>
      <c r="AQ31" s="817"/>
      <c r="AR31" s="817"/>
      <c r="AS31" s="817"/>
      <c r="AT31" s="817"/>
      <c r="AU31" s="817"/>
      <c r="AV31" s="817"/>
      <c r="AW31" s="817"/>
      <c r="AX31" s="817"/>
      <c r="AY31" s="817"/>
      <c r="AZ31" s="817"/>
      <c r="BA31" s="817"/>
      <c r="BB31" s="817">
        <v>56651.872000000003</v>
      </c>
      <c r="BC31" s="817">
        <v>56468.512999999999</v>
      </c>
      <c r="BD31" s="817"/>
      <c r="BE31" s="817"/>
      <c r="BF31" s="817">
        <v>16131.5</v>
      </c>
      <c r="BG31" s="817">
        <v>16131.5</v>
      </c>
      <c r="BH31" s="817">
        <v>52224</v>
      </c>
      <c r="BI31" s="817">
        <v>52224</v>
      </c>
      <c r="BJ31" s="817"/>
      <c r="BK31" s="817"/>
      <c r="BL31" s="817"/>
      <c r="BM31" s="817"/>
      <c r="BN31" s="817"/>
      <c r="BO31" s="817"/>
      <c r="BP31" s="817"/>
      <c r="BQ31" s="817"/>
      <c r="BR31" s="817"/>
      <c r="BS31" s="817"/>
      <c r="BT31" s="817"/>
      <c r="BU31" s="817"/>
      <c r="BV31" s="817"/>
      <c r="BW31" s="817"/>
      <c r="BX31" s="817"/>
      <c r="BY31" s="817"/>
      <c r="BZ31" s="817">
        <v>1087.963</v>
      </c>
      <c r="CA31" s="817">
        <v>1087.963</v>
      </c>
      <c r="CB31" s="817"/>
      <c r="CC31" s="817"/>
      <c r="CD31" s="817"/>
      <c r="CE31" s="817"/>
      <c r="CF31" s="817"/>
      <c r="CG31" s="817"/>
      <c r="CH31" s="817"/>
      <c r="CI31" s="817"/>
      <c r="CJ31" s="817"/>
      <c r="CK31" s="817"/>
      <c r="CL31" s="817"/>
      <c r="CM31" s="817"/>
      <c r="CN31" s="817"/>
      <c r="CO31" s="817"/>
      <c r="CP31" s="817"/>
      <c r="CQ31" s="817"/>
      <c r="CR31" s="817"/>
      <c r="CS31" s="817"/>
      <c r="CT31" s="817"/>
      <c r="CU31" s="817"/>
      <c r="CV31" s="817"/>
      <c r="CW31" s="817"/>
      <c r="CX31" s="817"/>
      <c r="CY31" s="817"/>
      <c r="CZ31" s="817"/>
      <c r="DA31" s="817"/>
      <c r="DB31" s="817"/>
      <c r="DC31" s="817"/>
      <c r="DD31" s="817"/>
      <c r="DE31" s="817"/>
      <c r="DF31" s="817"/>
      <c r="DG31" s="817"/>
      <c r="DH31" s="817"/>
      <c r="DI31" s="817"/>
      <c r="DJ31" s="817"/>
      <c r="DK31" s="817"/>
      <c r="DL31" s="817"/>
      <c r="DM31" s="817"/>
      <c r="DN31" s="817"/>
      <c r="DO31" s="817"/>
      <c r="DP31" s="817"/>
      <c r="DQ31" s="817"/>
      <c r="DR31" s="817"/>
      <c r="DS31" s="817"/>
      <c r="DT31" s="817"/>
      <c r="DU31" s="817"/>
      <c r="DV31" s="817"/>
      <c r="DW31" s="817"/>
      <c r="DX31" s="817"/>
      <c r="DY31" s="817"/>
      <c r="DZ31" s="817"/>
      <c r="EA31" s="817"/>
      <c r="EB31" s="817"/>
      <c r="EC31" s="817"/>
      <c r="ED31" s="817"/>
      <c r="EE31" s="817"/>
      <c r="EF31" s="817"/>
      <c r="EG31" s="817"/>
      <c r="EH31" s="817"/>
      <c r="EI31" s="817"/>
      <c r="EJ31" s="817"/>
      <c r="EK31" s="817"/>
      <c r="EL31" s="817"/>
      <c r="EM31" s="817"/>
      <c r="EN31" s="817"/>
      <c r="EO31" s="817"/>
      <c r="EP31" s="817"/>
      <c r="EQ31" s="817"/>
      <c r="ER31" s="817"/>
      <c r="ES31" s="817"/>
      <c r="ET31" s="817"/>
      <c r="EU31" s="817"/>
      <c r="EV31" s="817"/>
      <c r="EW31" s="817"/>
      <c r="EX31" s="817"/>
      <c r="EY31" s="817"/>
      <c r="EZ31" s="817"/>
      <c r="FA31" s="817"/>
      <c r="FB31" s="817"/>
      <c r="FC31" s="817"/>
      <c r="FD31" s="817"/>
      <c r="FE31" s="817"/>
      <c r="FF31" s="817"/>
      <c r="FG31" s="817"/>
      <c r="FH31" s="817"/>
      <c r="FI31" s="817"/>
      <c r="FJ31" s="817"/>
      <c r="FK31" s="817"/>
      <c r="FL31" s="818">
        <f t="shared" si="0"/>
        <v>220043.33000000002</v>
      </c>
      <c r="FM31" s="818">
        <f t="shared" si="1"/>
        <v>218792.85199999998</v>
      </c>
    </row>
    <row r="32" spans="1:169">
      <c r="A32" s="816" t="s">
        <v>1363</v>
      </c>
      <c r="B32" s="817"/>
      <c r="C32" s="817"/>
      <c r="D32" s="817"/>
      <c r="E32" s="817"/>
      <c r="F32" s="817"/>
      <c r="G32" s="817"/>
      <c r="H32" s="817"/>
      <c r="I32" s="817"/>
      <c r="J32" s="817"/>
      <c r="K32" s="817"/>
      <c r="L32" s="817"/>
      <c r="M32" s="817"/>
      <c r="N32" s="817"/>
      <c r="O32" s="817"/>
      <c r="P32" s="817"/>
      <c r="Q32" s="817"/>
      <c r="R32" s="817"/>
      <c r="S32" s="817"/>
      <c r="T32" s="817"/>
      <c r="U32" s="817"/>
      <c r="V32" s="817"/>
      <c r="W32" s="817"/>
      <c r="X32" s="817"/>
      <c r="Y32" s="817"/>
      <c r="Z32" s="817"/>
      <c r="AA32" s="817"/>
      <c r="AB32" s="817"/>
      <c r="AC32" s="817"/>
      <c r="AD32" s="817"/>
      <c r="AE32" s="817"/>
      <c r="AF32" s="817"/>
      <c r="AG32" s="817"/>
      <c r="AH32" s="817"/>
      <c r="AI32" s="817"/>
      <c r="AJ32" s="817"/>
      <c r="AK32" s="817"/>
      <c r="AL32" s="817"/>
      <c r="AM32" s="817"/>
      <c r="AN32" s="817"/>
      <c r="AO32" s="817"/>
      <c r="AP32" s="817"/>
      <c r="AQ32" s="817"/>
      <c r="AR32" s="817"/>
      <c r="AS32" s="817"/>
      <c r="AT32" s="817"/>
      <c r="AU32" s="817"/>
      <c r="AV32" s="817"/>
      <c r="AW32" s="817"/>
      <c r="AX32" s="817"/>
      <c r="AY32" s="817"/>
      <c r="AZ32" s="817"/>
      <c r="BA32" s="817"/>
      <c r="BB32" s="817"/>
      <c r="BC32" s="817"/>
      <c r="BD32" s="817"/>
      <c r="BE32" s="817"/>
      <c r="BF32" s="817"/>
      <c r="BG32" s="817"/>
      <c r="BH32" s="817"/>
      <c r="BI32" s="817"/>
      <c r="BJ32" s="817"/>
      <c r="BK32" s="817"/>
      <c r="BL32" s="817">
        <f>35.749+3627.262</f>
        <v>3663.011</v>
      </c>
      <c r="BM32" s="817">
        <f>35.749+3507.825</f>
        <v>3543.5739999999996</v>
      </c>
      <c r="BN32" s="817">
        <f>118.391+9122.523</f>
        <v>9240.9139999999989</v>
      </c>
      <c r="BO32" s="817">
        <f>118.391+9044.707</f>
        <v>9163.098</v>
      </c>
      <c r="BP32" s="817"/>
      <c r="BQ32" s="817"/>
      <c r="BR32" s="817"/>
      <c r="BS32" s="817"/>
      <c r="BT32" s="817"/>
      <c r="BU32" s="817"/>
      <c r="BV32" s="817"/>
      <c r="BW32" s="817"/>
      <c r="BX32" s="817"/>
      <c r="BY32" s="817"/>
      <c r="BZ32" s="817">
        <v>74.563000000000002</v>
      </c>
      <c r="CA32" s="817">
        <v>74.563000000000002</v>
      </c>
      <c r="CB32" s="817"/>
      <c r="CC32" s="817"/>
      <c r="CD32" s="817"/>
      <c r="CE32" s="817"/>
      <c r="CF32" s="817"/>
      <c r="CG32" s="817"/>
      <c r="CH32" s="817"/>
      <c r="CI32" s="817"/>
      <c r="CJ32" s="817"/>
      <c r="CK32" s="817"/>
      <c r="CL32" s="817"/>
      <c r="CM32" s="817"/>
      <c r="CN32" s="817"/>
      <c r="CO32" s="817"/>
      <c r="CP32" s="817"/>
      <c r="CQ32" s="817"/>
      <c r="CR32" s="817"/>
      <c r="CS32" s="817"/>
      <c r="CT32" s="817"/>
      <c r="CU32" s="817"/>
      <c r="CV32" s="817"/>
      <c r="CW32" s="817"/>
      <c r="CX32" s="817"/>
      <c r="CY32" s="817"/>
      <c r="CZ32" s="817"/>
      <c r="DA32" s="817"/>
      <c r="DB32" s="817"/>
      <c r="DC32" s="817"/>
      <c r="DD32" s="817"/>
      <c r="DE32" s="817"/>
      <c r="DF32" s="817"/>
      <c r="DG32" s="817"/>
      <c r="DH32" s="817"/>
      <c r="DI32" s="817"/>
      <c r="DJ32" s="817"/>
      <c r="DK32" s="817"/>
      <c r="DL32" s="817"/>
      <c r="DM32" s="817"/>
      <c r="DN32" s="817"/>
      <c r="DO32" s="817"/>
      <c r="DP32" s="817"/>
      <c r="DQ32" s="817"/>
      <c r="DR32" s="817"/>
      <c r="DS32" s="817"/>
      <c r="DT32" s="817"/>
      <c r="DU32" s="817"/>
      <c r="DV32" s="817"/>
      <c r="DW32" s="817"/>
      <c r="DX32" s="817"/>
      <c r="DY32" s="817"/>
      <c r="DZ32" s="817"/>
      <c r="EA32" s="817"/>
      <c r="EB32" s="817"/>
      <c r="EC32" s="817"/>
      <c r="ED32" s="817"/>
      <c r="EE32" s="817"/>
      <c r="EF32" s="817"/>
      <c r="EG32" s="817"/>
      <c r="EH32" s="817"/>
      <c r="EI32" s="817"/>
      <c r="EJ32" s="817"/>
      <c r="EK32" s="817"/>
      <c r="EL32" s="817"/>
      <c r="EM32" s="817"/>
      <c r="EN32" s="817"/>
      <c r="EO32" s="817"/>
      <c r="EP32" s="817"/>
      <c r="EQ32" s="817"/>
      <c r="ER32" s="817"/>
      <c r="ES32" s="817"/>
      <c r="ET32" s="817"/>
      <c r="EU32" s="817"/>
      <c r="EV32" s="817"/>
      <c r="EW32" s="817"/>
      <c r="EX32" s="817"/>
      <c r="EY32" s="817"/>
      <c r="EZ32" s="817"/>
      <c r="FA32" s="817"/>
      <c r="FB32" s="817"/>
      <c r="FC32" s="817"/>
      <c r="FD32" s="817"/>
      <c r="FE32" s="817"/>
      <c r="FF32" s="817"/>
      <c r="FG32" s="817"/>
      <c r="FH32" s="817"/>
      <c r="FI32" s="817"/>
      <c r="FJ32" s="817"/>
      <c r="FK32" s="817"/>
      <c r="FL32" s="818">
        <f t="shared" si="0"/>
        <v>12978.487999999999</v>
      </c>
      <c r="FM32" s="818">
        <f t="shared" si="1"/>
        <v>12781.234999999999</v>
      </c>
    </row>
    <row r="33" spans="1:169">
      <c r="A33" s="816" t="s">
        <v>1364</v>
      </c>
      <c r="B33" s="817"/>
      <c r="C33" s="817"/>
      <c r="D33" s="817"/>
      <c r="E33" s="817"/>
      <c r="F33" s="817"/>
      <c r="G33" s="817"/>
      <c r="H33" s="817"/>
      <c r="I33" s="817"/>
      <c r="J33" s="817"/>
      <c r="K33" s="817"/>
      <c r="L33" s="817"/>
      <c r="M33" s="817"/>
      <c r="N33" s="817"/>
      <c r="O33" s="817"/>
      <c r="P33" s="817"/>
      <c r="Q33" s="817"/>
      <c r="R33" s="817"/>
      <c r="S33" s="817"/>
      <c r="T33" s="817"/>
      <c r="U33" s="817"/>
      <c r="V33" s="817"/>
      <c r="W33" s="817"/>
      <c r="X33" s="817"/>
      <c r="Y33" s="817"/>
      <c r="Z33" s="817"/>
      <c r="AA33" s="817"/>
      <c r="AB33" s="817"/>
      <c r="AC33" s="817"/>
      <c r="AD33" s="817"/>
      <c r="AE33" s="817"/>
      <c r="AF33" s="817"/>
      <c r="AG33" s="817"/>
      <c r="AH33" s="817"/>
      <c r="AI33" s="817"/>
      <c r="AJ33" s="817"/>
      <c r="AK33" s="817"/>
      <c r="AL33" s="817"/>
      <c r="AM33" s="817"/>
      <c r="AN33" s="817"/>
      <c r="AO33" s="817"/>
      <c r="AP33" s="817"/>
      <c r="AQ33" s="817"/>
      <c r="AR33" s="817"/>
      <c r="AS33" s="817"/>
      <c r="AT33" s="817"/>
      <c r="AU33" s="817"/>
      <c r="AV33" s="817"/>
      <c r="AW33" s="817"/>
      <c r="AX33" s="817"/>
      <c r="AY33" s="817"/>
      <c r="AZ33" s="817"/>
      <c r="BA33" s="817"/>
      <c r="BB33" s="817"/>
      <c r="BC33" s="817"/>
      <c r="BD33" s="817"/>
      <c r="BE33" s="817"/>
      <c r="BF33" s="817"/>
      <c r="BG33" s="817"/>
      <c r="BH33" s="817"/>
      <c r="BI33" s="817"/>
      <c r="BJ33" s="817"/>
      <c r="BK33" s="817"/>
      <c r="BL33" s="817"/>
      <c r="BM33" s="817"/>
      <c r="BN33" s="817"/>
      <c r="BO33" s="817"/>
      <c r="BP33" s="817"/>
      <c r="BQ33" s="817"/>
      <c r="BR33" s="817"/>
      <c r="BS33" s="817"/>
      <c r="BT33" s="817"/>
      <c r="BU33" s="817"/>
      <c r="BV33" s="817"/>
      <c r="BW33" s="817"/>
      <c r="BX33" s="817"/>
      <c r="BY33" s="817"/>
      <c r="BZ33" s="817"/>
      <c r="CA33" s="817"/>
      <c r="CB33" s="817"/>
      <c r="CC33" s="817"/>
      <c r="CD33" s="817"/>
      <c r="CE33" s="817"/>
      <c r="CF33" s="817"/>
      <c r="CG33" s="817"/>
      <c r="CH33" s="817"/>
      <c r="CI33" s="817"/>
      <c r="CJ33" s="817"/>
      <c r="CK33" s="817"/>
      <c r="CL33" s="817">
        <v>4015.1460000000002</v>
      </c>
      <c r="CM33" s="817">
        <v>4005.58</v>
      </c>
      <c r="CN33" s="817"/>
      <c r="CO33" s="817"/>
      <c r="CP33" s="817"/>
      <c r="CQ33" s="817"/>
      <c r="CR33" s="817"/>
      <c r="CS33" s="817"/>
      <c r="CT33" s="817"/>
      <c r="CU33" s="817"/>
      <c r="CV33" s="817"/>
      <c r="CW33" s="817"/>
      <c r="CX33" s="817"/>
      <c r="CY33" s="817"/>
      <c r="CZ33" s="817"/>
      <c r="DA33" s="817"/>
      <c r="DB33" s="817"/>
      <c r="DC33" s="817"/>
      <c r="DD33" s="817"/>
      <c r="DE33" s="817"/>
      <c r="DF33" s="817"/>
      <c r="DG33" s="817"/>
      <c r="DH33" s="817"/>
      <c r="DI33" s="817"/>
      <c r="DJ33" s="817"/>
      <c r="DK33" s="817"/>
      <c r="DL33" s="817"/>
      <c r="DM33" s="817"/>
      <c r="DN33" s="817"/>
      <c r="DO33" s="817"/>
      <c r="DP33" s="817"/>
      <c r="DQ33" s="817"/>
      <c r="DR33" s="817"/>
      <c r="DS33" s="817"/>
      <c r="DT33" s="817"/>
      <c r="DU33" s="817"/>
      <c r="DV33" s="817"/>
      <c r="DW33" s="817"/>
      <c r="DX33" s="817"/>
      <c r="DY33" s="817"/>
      <c r="DZ33" s="817"/>
      <c r="EA33" s="817"/>
      <c r="EB33" s="817"/>
      <c r="EC33" s="817"/>
      <c r="ED33" s="817"/>
      <c r="EE33" s="817"/>
      <c r="EF33" s="817"/>
      <c r="EG33" s="817"/>
      <c r="EH33" s="817"/>
      <c r="EI33" s="817"/>
      <c r="EJ33" s="817"/>
      <c r="EK33" s="817"/>
      <c r="EL33" s="817"/>
      <c r="EM33" s="817"/>
      <c r="EN33" s="817"/>
      <c r="EO33" s="817"/>
      <c r="EP33" s="817"/>
      <c r="EQ33" s="817"/>
      <c r="ER33" s="817"/>
      <c r="ES33" s="817"/>
      <c r="ET33" s="817"/>
      <c r="EU33" s="817"/>
      <c r="EV33" s="817"/>
      <c r="EW33" s="817"/>
      <c r="EX33" s="817"/>
      <c r="EY33" s="817"/>
      <c r="EZ33" s="817"/>
      <c r="FA33" s="817"/>
      <c r="FB33" s="817"/>
      <c r="FC33" s="817"/>
      <c r="FD33" s="817"/>
      <c r="FE33" s="817"/>
      <c r="FF33" s="817"/>
      <c r="FG33" s="817"/>
      <c r="FH33" s="817"/>
      <c r="FI33" s="817"/>
      <c r="FJ33" s="817"/>
      <c r="FK33" s="817"/>
      <c r="FL33" s="818">
        <f t="shared" si="0"/>
        <v>4015.1460000000002</v>
      </c>
      <c r="FM33" s="818">
        <f t="shared" si="1"/>
        <v>4005.58</v>
      </c>
    </row>
    <row r="34" spans="1:169">
      <c r="A34" s="816" t="s">
        <v>1365</v>
      </c>
      <c r="B34" s="817"/>
      <c r="C34" s="817"/>
      <c r="D34" s="817"/>
      <c r="E34" s="817"/>
      <c r="F34" s="817"/>
      <c r="G34" s="817"/>
      <c r="H34" s="817"/>
      <c r="I34" s="817"/>
      <c r="J34" s="817"/>
      <c r="K34" s="817"/>
      <c r="L34" s="817"/>
      <c r="M34" s="817"/>
      <c r="N34" s="817"/>
      <c r="O34" s="817"/>
      <c r="P34" s="817"/>
      <c r="Q34" s="817"/>
      <c r="R34" s="817"/>
      <c r="S34" s="817"/>
      <c r="T34" s="817"/>
      <c r="U34" s="817"/>
      <c r="V34" s="817"/>
      <c r="W34" s="817"/>
      <c r="X34" s="817"/>
      <c r="Y34" s="817"/>
      <c r="Z34" s="817"/>
      <c r="AA34" s="817"/>
      <c r="AB34" s="817"/>
      <c r="AC34" s="817"/>
      <c r="AD34" s="817"/>
      <c r="AE34" s="817"/>
      <c r="AF34" s="817"/>
      <c r="AG34" s="817"/>
      <c r="AH34" s="817"/>
      <c r="AI34" s="817"/>
      <c r="AJ34" s="817"/>
      <c r="AK34" s="817"/>
      <c r="AL34" s="817"/>
      <c r="AM34" s="817"/>
      <c r="AN34" s="817"/>
      <c r="AO34" s="817"/>
      <c r="AP34" s="817"/>
      <c r="AQ34" s="817"/>
      <c r="AR34" s="817"/>
      <c r="AS34" s="817"/>
      <c r="AT34" s="817"/>
      <c r="AU34" s="817"/>
      <c r="AV34" s="817"/>
      <c r="AW34" s="817"/>
      <c r="AX34" s="817">
        <v>1443.155</v>
      </c>
      <c r="AY34" s="817">
        <v>1438.7</v>
      </c>
      <c r="AZ34" s="817"/>
      <c r="BA34" s="817"/>
      <c r="BB34" s="817"/>
      <c r="BC34" s="817"/>
      <c r="BD34" s="817"/>
      <c r="BE34" s="817"/>
      <c r="BF34" s="817"/>
      <c r="BG34" s="817"/>
      <c r="BH34" s="817"/>
      <c r="BI34" s="817"/>
      <c r="BJ34" s="817"/>
      <c r="BK34" s="817"/>
      <c r="BL34" s="817"/>
      <c r="BM34" s="817"/>
      <c r="BN34" s="817"/>
      <c r="BO34" s="817"/>
      <c r="BP34" s="817"/>
      <c r="BQ34" s="817"/>
      <c r="BR34" s="817"/>
      <c r="BS34" s="817"/>
      <c r="BT34" s="817"/>
      <c r="BU34" s="817"/>
      <c r="BV34" s="817"/>
      <c r="BW34" s="817"/>
      <c r="BX34" s="817"/>
      <c r="BY34" s="817"/>
      <c r="BZ34" s="817"/>
      <c r="CA34" s="817"/>
      <c r="CB34" s="817"/>
      <c r="CC34" s="817"/>
      <c r="CD34" s="817"/>
      <c r="CE34" s="817"/>
      <c r="CF34" s="817"/>
      <c r="CG34" s="817"/>
      <c r="CH34" s="817"/>
      <c r="CI34" s="817"/>
      <c r="CJ34" s="817"/>
      <c r="CK34" s="817"/>
      <c r="CL34" s="817"/>
      <c r="CM34" s="817"/>
      <c r="CN34" s="817"/>
      <c r="CO34" s="817"/>
      <c r="CP34" s="817"/>
      <c r="CQ34" s="817"/>
      <c r="CR34" s="817"/>
      <c r="CS34" s="817"/>
      <c r="CT34" s="817"/>
      <c r="CU34" s="817"/>
      <c r="CV34" s="817"/>
      <c r="CW34" s="817"/>
      <c r="CX34" s="817"/>
      <c r="CY34" s="817"/>
      <c r="CZ34" s="817"/>
      <c r="DA34" s="817"/>
      <c r="DB34" s="817"/>
      <c r="DC34" s="817"/>
      <c r="DD34" s="817"/>
      <c r="DE34" s="817"/>
      <c r="DF34" s="817"/>
      <c r="DG34" s="817"/>
      <c r="DH34" s="817"/>
      <c r="DI34" s="817"/>
      <c r="DJ34" s="817"/>
      <c r="DK34" s="817"/>
      <c r="DL34" s="817"/>
      <c r="DM34" s="817"/>
      <c r="DN34" s="817"/>
      <c r="DO34" s="817"/>
      <c r="DP34" s="817"/>
      <c r="DQ34" s="817"/>
      <c r="DR34" s="817"/>
      <c r="DS34" s="817"/>
      <c r="DT34" s="817"/>
      <c r="DU34" s="817"/>
      <c r="DV34" s="817"/>
      <c r="DW34" s="817"/>
      <c r="DX34" s="817"/>
      <c r="DY34" s="817"/>
      <c r="DZ34" s="817"/>
      <c r="EA34" s="817"/>
      <c r="EB34" s="817"/>
      <c r="EC34" s="817"/>
      <c r="ED34" s="817"/>
      <c r="EE34" s="817"/>
      <c r="EF34" s="817"/>
      <c r="EG34" s="817"/>
      <c r="EH34" s="817"/>
      <c r="EI34" s="817"/>
      <c r="EJ34" s="817"/>
      <c r="EK34" s="817"/>
      <c r="EL34" s="817"/>
      <c r="EM34" s="817"/>
      <c r="EN34" s="817"/>
      <c r="EO34" s="817"/>
      <c r="EP34" s="817"/>
      <c r="EQ34" s="817"/>
      <c r="ER34" s="817"/>
      <c r="ES34" s="817"/>
      <c r="ET34" s="817"/>
      <c r="EU34" s="817"/>
      <c r="EV34" s="817"/>
      <c r="EW34" s="817"/>
      <c r="EX34" s="817"/>
      <c r="EY34" s="817"/>
      <c r="EZ34" s="817"/>
      <c r="FA34" s="817"/>
      <c r="FB34" s="817"/>
      <c r="FC34" s="817"/>
      <c r="FD34" s="817"/>
      <c r="FE34" s="817"/>
      <c r="FF34" s="817"/>
      <c r="FG34" s="817"/>
      <c r="FH34" s="817"/>
      <c r="FI34" s="817"/>
      <c r="FJ34" s="817"/>
      <c r="FK34" s="817"/>
      <c r="FL34" s="818">
        <f t="shared" si="0"/>
        <v>1443.155</v>
      </c>
      <c r="FM34" s="818">
        <f t="shared" si="1"/>
        <v>1438.7</v>
      </c>
    </row>
    <row r="35" spans="1:169">
      <c r="A35" s="816" t="s">
        <v>1270</v>
      </c>
      <c r="B35" s="817"/>
      <c r="C35" s="817"/>
      <c r="D35" s="817"/>
      <c r="E35" s="817"/>
      <c r="F35" s="817"/>
      <c r="G35" s="817"/>
      <c r="H35" s="817"/>
      <c r="I35" s="817"/>
      <c r="J35" s="817"/>
      <c r="K35" s="817"/>
      <c r="L35" s="817"/>
      <c r="M35" s="817"/>
      <c r="N35" s="817"/>
      <c r="O35" s="817"/>
      <c r="P35" s="817"/>
      <c r="Q35" s="817"/>
      <c r="R35" s="817"/>
      <c r="S35" s="817"/>
      <c r="T35" s="817"/>
      <c r="U35" s="817"/>
      <c r="V35" s="817"/>
      <c r="W35" s="817"/>
      <c r="X35" s="817"/>
      <c r="Y35" s="817"/>
      <c r="Z35" s="817"/>
      <c r="AA35" s="817"/>
      <c r="AB35" s="817"/>
      <c r="AC35" s="817"/>
      <c r="AD35" s="817"/>
      <c r="AE35" s="817"/>
      <c r="AF35" s="817"/>
      <c r="AG35" s="817"/>
      <c r="AH35" s="817"/>
      <c r="AI35" s="817"/>
      <c r="AJ35" s="817"/>
      <c r="AK35" s="817"/>
      <c r="AL35" s="817"/>
      <c r="AM35" s="817"/>
      <c r="AN35" s="817"/>
      <c r="AO35" s="817"/>
      <c r="AP35" s="817"/>
      <c r="AQ35" s="817"/>
      <c r="AR35" s="817"/>
      <c r="AS35" s="817"/>
      <c r="AT35" s="817"/>
      <c r="AU35" s="817"/>
      <c r="AV35" s="817"/>
      <c r="AW35" s="817"/>
      <c r="AX35" s="817"/>
      <c r="AY35" s="817"/>
      <c r="AZ35" s="817"/>
      <c r="BA35" s="817"/>
      <c r="BB35" s="817"/>
      <c r="BC35" s="817"/>
      <c r="BD35" s="817"/>
      <c r="BE35" s="817"/>
      <c r="BF35" s="817"/>
      <c r="BG35" s="817"/>
      <c r="BH35" s="817"/>
      <c r="BI35" s="817"/>
      <c r="BJ35" s="817"/>
      <c r="BK35" s="817"/>
      <c r="BL35" s="817"/>
      <c r="BM35" s="817"/>
      <c r="BN35" s="817"/>
      <c r="BO35" s="817"/>
      <c r="BP35" s="817"/>
      <c r="BQ35" s="817"/>
      <c r="BR35" s="817"/>
      <c r="BS35" s="817"/>
      <c r="BT35" s="817"/>
      <c r="BU35" s="817"/>
      <c r="BV35" s="817"/>
      <c r="BW35" s="817"/>
      <c r="BX35" s="817"/>
      <c r="BY35" s="817"/>
      <c r="BZ35" s="817"/>
      <c r="CA35" s="817"/>
      <c r="CB35" s="817"/>
      <c r="CC35" s="817"/>
      <c r="CD35" s="817"/>
      <c r="CE35" s="817"/>
      <c r="CF35" s="817"/>
      <c r="CG35" s="817"/>
      <c r="CH35" s="817"/>
      <c r="CI35" s="817"/>
      <c r="CJ35" s="817"/>
      <c r="CK35" s="817"/>
      <c r="CL35" s="817">
        <v>5.6840000000000002</v>
      </c>
      <c r="CM35" s="817">
        <v>5.6840000000000002</v>
      </c>
      <c r="CN35" s="817"/>
      <c r="CO35" s="817"/>
      <c r="CP35" s="817"/>
      <c r="CQ35" s="817"/>
      <c r="CR35" s="817"/>
      <c r="CS35" s="817"/>
      <c r="CT35" s="817"/>
      <c r="CU35" s="817"/>
      <c r="CV35" s="817"/>
      <c r="CW35" s="817"/>
      <c r="CX35" s="817"/>
      <c r="CY35" s="817"/>
      <c r="CZ35" s="817"/>
      <c r="DA35" s="817"/>
      <c r="DB35" s="817"/>
      <c r="DC35" s="817"/>
      <c r="DD35" s="817"/>
      <c r="DE35" s="817"/>
      <c r="DF35" s="817"/>
      <c r="DG35" s="817"/>
      <c r="DH35" s="817"/>
      <c r="DI35" s="817"/>
      <c r="DJ35" s="817"/>
      <c r="DK35" s="817"/>
      <c r="DL35" s="817"/>
      <c r="DM35" s="817"/>
      <c r="DN35" s="817"/>
      <c r="DO35" s="817"/>
      <c r="DP35" s="817"/>
      <c r="DQ35" s="817"/>
      <c r="DR35" s="817"/>
      <c r="DS35" s="817"/>
      <c r="DT35" s="817"/>
      <c r="DU35" s="817"/>
      <c r="DV35" s="817"/>
      <c r="DW35" s="817"/>
      <c r="DX35" s="817"/>
      <c r="DY35" s="817"/>
      <c r="DZ35" s="817"/>
      <c r="EA35" s="817"/>
      <c r="EB35" s="817"/>
      <c r="EC35" s="817"/>
      <c r="ED35" s="817"/>
      <c r="EE35" s="817"/>
      <c r="EF35" s="817"/>
      <c r="EG35" s="817"/>
      <c r="EH35" s="817"/>
      <c r="EI35" s="817"/>
      <c r="EJ35" s="817"/>
      <c r="EK35" s="817"/>
      <c r="EL35" s="817"/>
      <c r="EM35" s="817"/>
      <c r="EN35" s="817"/>
      <c r="EO35" s="817"/>
      <c r="EP35" s="817"/>
      <c r="EQ35" s="817"/>
      <c r="ER35" s="817"/>
      <c r="ES35" s="817"/>
      <c r="ET35" s="817"/>
      <c r="EU35" s="817"/>
      <c r="EV35" s="817"/>
      <c r="EW35" s="817"/>
      <c r="EX35" s="817"/>
      <c r="EY35" s="817"/>
      <c r="EZ35" s="817"/>
      <c r="FA35" s="817"/>
      <c r="FB35" s="817"/>
      <c r="FC35" s="817"/>
      <c r="FD35" s="817"/>
      <c r="FE35" s="817"/>
      <c r="FF35" s="817"/>
      <c r="FG35" s="817"/>
      <c r="FH35" s="817"/>
      <c r="FI35" s="817"/>
      <c r="FJ35" s="817"/>
      <c r="FK35" s="817"/>
      <c r="FL35" s="818">
        <f t="shared" si="0"/>
        <v>5.6840000000000002</v>
      </c>
      <c r="FM35" s="818">
        <f t="shared" si="1"/>
        <v>5.6840000000000002</v>
      </c>
    </row>
    <row r="36" spans="1:169">
      <c r="A36" s="816" t="s">
        <v>1366</v>
      </c>
      <c r="B36" s="817"/>
      <c r="C36" s="817"/>
      <c r="D36" s="817"/>
      <c r="E36" s="817"/>
      <c r="F36" s="817"/>
      <c r="G36" s="817"/>
      <c r="H36" s="817"/>
      <c r="I36" s="817"/>
      <c r="J36" s="817"/>
      <c r="K36" s="817"/>
      <c r="L36" s="817"/>
      <c r="M36" s="817"/>
      <c r="N36" s="817"/>
      <c r="O36" s="817"/>
      <c r="P36" s="817"/>
      <c r="Q36" s="817"/>
      <c r="R36" s="817"/>
      <c r="S36" s="817"/>
      <c r="T36" s="817"/>
      <c r="U36" s="817"/>
      <c r="V36" s="817"/>
      <c r="W36" s="817"/>
      <c r="X36" s="817"/>
      <c r="Y36" s="817"/>
      <c r="Z36" s="817"/>
      <c r="AA36" s="817"/>
      <c r="AB36" s="817"/>
      <c r="AC36" s="817"/>
      <c r="AD36" s="817"/>
      <c r="AE36" s="817"/>
      <c r="AF36" s="817"/>
      <c r="AG36" s="817"/>
      <c r="AH36" s="817"/>
      <c r="AI36" s="817"/>
      <c r="AJ36" s="817"/>
      <c r="AK36" s="817"/>
      <c r="AL36" s="817"/>
      <c r="AM36" s="817"/>
      <c r="AN36" s="817"/>
      <c r="AO36" s="817"/>
      <c r="AP36" s="817">
        <v>2491.5160000000001</v>
      </c>
      <c r="AQ36" s="817">
        <v>2491.5160000000001</v>
      </c>
      <c r="AR36" s="817"/>
      <c r="AS36" s="817"/>
      <c r="AT36" s="817"/>
      <c r="AU36" s="817"/>
      <c r="AV36" s="817"/>
      <c r="AW36" s="817"/>
      <c r="AX36" s="817"/>
      <c r="AY36" s="817"/>
      <c r="AZ36" s="817"/>
      <c r="BA36" s="817"/>
      <c r="BB36" s="817"/>
      <c r="BC36" s="817"/>
      <c r="BD36" s="817"/>
      <c r="BE36" s="817"/>
      <c r="BF36" s="817"/>
      <c r="BG36" s="817"/>
      <c r="BH36" s="817"/>
      <c r="BI36" s="817"/>
      <c r="BJ36" s="817"/>
      <c r="BK36" s="817"/>
      <c r="BL36" s="817"/>
      <c r="BM36" s="817"/>
      <c r="BN36" s="817"/>
      <c r="BO36" s="817"/>
      <c r="BP36" s="817"/>
      <c r="BQ36" s="817"/>
      <c r="BR36" s="817"/>
      <c r="BS36" s="817"/>
      <c r="BT36" s="817"/>
      <c r="BU36" s="817"/>
      <c r="BV36" s="817"/>
      <c r="BW36" s="817"/>
      <c r="BX36" s="817"/>
      <c r="BY36" s="817"/>
      <c r="BZ36" s="817"/>
      <c r="CA36" s="817"/>
      <c r="CB36" s="817"/>
      <c r="CC36" s="817"/>
      <c r="CD36" s="817"/>
      <c r="CE36" s="817"/>
      <c r="CF36" s="817"/>
      <c r="CG36" s="817"/>
      <c r="CH36" s="817"/>
      <c r="CI36" s="817"/>
      <c r="CJ36" s="817"/>
      <c r="CK36" s="817"/>
      <c r="CL36" s="817"/>
      <c r="CM36" s="817"/>
      <c r="CN36" s="817"/>
      <c r="CO36" s="817"/>
      <c r="CP36" s="817"/>
      <c r="CQ36" s="817"/>
      <c r="CR36" s="817"/>
      <c r="CS36" s="817"/>
      <c r="CT36" s="817"/>
      <c r="CU36" s="817"/>
      <c r="CV36" s="817"/>
      <c r="CW36" s="817"/>
      <c r="CX36" s="817"/>
      <c r="CY36" s="817"/>
      <c r="CZ36" s="817"/>
      <c r="DA36" s="817"/>
      <c r="DB36" s="817"/>
      <c r="DC36" s="817"/>
      <c r="DD36" s="817"/>
      <c r="DE36" s="817"/>
      <c r="DF36" s="817"/>
      <c r="DG36" s="817"/>
      <c r="DH36" s="817"/>
      <c r="DI36" s="817"/>
      <c r="DJ36" s="817"/>
      <c r="DK36" s="817"/>
      <c r="DL36" s="817"/>
      <c r="DM36" s="817"/>
      <c r="DN36" s="817"/>
      <c r="DO36" s="817"/>
      <c r="DP36" s="817"/>
      <c r="DQ36" s="817"/>
      <c r="DR36" s="817"/>
      <c r="DS36" s="817"/>
      <c r="DT36" s="817"/>
      <c r="DU36" s="817"/>
      <c r="DV36" s="817"/>
      <c r="DW36" s="817"/>
      <c r="DX36" s="817"/>
      <c r="DY36" s="817"/>
      <c r="DZ36" s="817"/>
      <c r="EA36" s="817"/>
      <c r="EB36" s="817"/>
      <c r="EC36" s="817"/>
      <c r="ED36" s="817"/>
      <c r="EE36" s="817"/>
      <c r="EF36" s="817"/>
      <c r="EG36" s="817"/>
      <c r="EH36" s="817"/>
      <c r="EI36" s="817"/>
      <c r="EJ36" s="817"/>
      <c r="EK36" s="817"/>
      <c r="EL36" s="817"/>
      <c r="EM36" s="817"/>
      <c r="EN36" s="817"/>
      <c r="EO36" s="817"/>
      <c r="EP36" s="817"/>
      <c r="EQ36" s="817"/>
      <c r="ER36" s="817"/>
      <c r="ES36" s="817"/>
      <c r="ET36" s="817"/>
      <c r="EU36" s="817"/>
      <c r="EV36" s="817"/>
      <c r="EW36" s="817"/>
      <c r="EX36" s="817"/>
      <c r="EY36" s="817"/>
      <c r="EZ36" s="817"/>
      <c r="FA36" s="817"/>
      <c r="FB36" s="817"/>
      <c r="FC36" s="817"/>
      <c r="FD36" s="817"/>
      <c r="FE36" s="817"/>
      <c r="FF36" s="817"/>
      <c r="FG36" s="817"/>
      <c r="FH36" s="817"/>
      <c r="FI36" s="817"/>
      <c r="FJ36" s="817"/>
      <c r="FK36" s="817"/>
      <c r="FL36" s="818">
        <f t="shared" si="0"/>
        <v>2491.5160000000001</v>
      </c>
      <c r="FM36" s="818">
        <f t="shared" si="1"/>
        <v>2491.5160000000001</v>
      </c>
    </row>
    <row r="37" spans="1:169">
      <c r="A37" s="816" t="s">
        <v>1367</v>
      </c>
      <c r="B37" s="817"/>
      <c r="C37" s="817"/>
      <c r="D37" s="817"/>
      <c r="E37" s="817"/>
      <c r="F37" s="817"/>
      <c r="G37" s="817"/>
      <c r="H37" s="817"/>
      <c r="I37" s="817"/>
      <c r="J37" s="817"/>
      <c r="K37" s="817"/>
      <c r="L37" s="817"/>
      <c r="M37" s="817"/>
      <c r="N37" s="817"/>
      <c r="O37" s="817"/>
      <c r="P37" s="817"/>
      <c r="Q37" s="817"/>
      <c r="R37" s="817"/>
      <c r="S37" s="817"/>
      <c r="T37" s="817"/>
      <c r="U37" s="817"/>
      <c r="V37" s="817"/>
      <c r="W37" s="817"/>
      <c r="X37" s="817"/>
      <c r="Y37" s="817"/>
      <c r="Z37" s="817"/>
      <c r="AA37" s="817"/>
      <c r="AB37" s="817"/>
      <c r="AC37" s="817"/>
      <c r="AD37" s="817"/>
      <c r="AE37" s="817"/>
      <c r="AF37" s="817"/>
      <c r="AG37" s="817"/>
      <c r="AH37" s="817"/>
      <c r="AI37" s="817"/>
      <c r="AJ37" s="817"/>
      <c r="AK37" s="817"/>
      <c r="AL37" s="817"/>
      <c r="AM37" s="817"/>
      <c r="AN37" s="817"/>
      <c r="AO37" s="817"/>
      <c r="AP37" s="817"/>
      <c r="AQ37" s="817"/>
      <c r="AR37" s="817">
        <v>6252.6670000000004</v>
      </c>
      <c r="AS37" s="817">
        <v>5321.567</v>
      </c>
      <c r="AT37" s="817"/>
      <c r="AU37" s="817"/>
      <c r="AV37" s="817"/>
      <c r="AW37" s="817"/>
      <c r="AX37" s="817"/>
      <c r="AY37" s="817"/>
      <c r="AZ37" s="817"/>
      <c r="BA37" s="817"/>
      <c r="BB37" s="817"/>
      <c r="BC37" s="817"/>
      <c r="BD37" s="817"/>
      <c r="BE37" s="817"/>
      <c r="BF37" s="817"/>
      <c r="BG37" s="817"/>
      <c r="BH37" s="817"/>
      <c r="BI37" s="817"/>
      <c r="BJ37" s="817"/>
      <c r="BK37" s="817"/>
      <c r="BL37" s="817"/>
      <c r="BM37" s="817"/>
      <c r="BN37" s="817"/>
      <c r="BO37" s="817"/>
      <c r="BP37" s="817"/>
      <c r="BQ37" s="817"/>
      <c r="BR37" s="817"/>
      <c r="BS37" s="817"/>
      <c r="BT37" s="817"/>
      <c r="BU37" s="817"/>
      <c r="BV37" s="817"/>
      <c r="BW37" s="817"/>
      <c r="BX37" s="817"/>
      <c r="BY37" s="817"/>
      <c r="BZ37" s="817"/>
      <c r="CA37" s="817"/>
      <c r="CB37" s="817"/>
      <c r="CC37" s="817"/>
      <c r="CD37" s="817"/>
      <c r="CE37" s="817"/>
      <c r="CF37" s="817"/>
      <c r="CG37" s="817"/>
      <c r="CH37" s="817"/>
      <c r="CI37" s="817"/>
      <c r="CJ37" s="817"/>
      <c r="CK37" s="817"/>
      <c r="CL37" s="817"/>
      <c r="CM37" s="817"/>
      <c r="CN37" s="817"/>
      <c r="CO37" s="817"/>
      <c r="CP37" s="817"/>
      <c r="CQ37" s="817"/>
      <c r="CR37" s="817"/>
      <c r="CS37" s="817"/>
      <c r="CT37" s="817"/>
      <c r="CU37" s="817"/>
      <c r="CV37" s="817"/>
      <c r="CW37" s="817"/>
      <c r="CX37" s="817"/>
      <c r="CY37" s="817"/>
      <c r="CZ37" s="817"/>
      <c r="DA37" s="817"/>
      <c r="DB37" s="817"/>
      <c r="DC37" s="817"/>
      <c r="DD37" s="817"/>
      <c r="DE37" s="817"/>
      <c r="DF37" s="817"/>
      <c r="DG37" s="817"/>
      <c r="DH37" s="817"/>
      <c r="DI37" s="817"/>
      <c r="DJ37" s="817"/>
      <c r="DK37" s="817"/>
      <c r="DL37" s="817"/>
      <c r="DM37" s="817"/>
      <c r="DN37" s="817"/>
      <c r="DO37" s="817"/>
      <c r="DP37" s="817"/>
      <c r="DQ37" s="817"/>
      <c r="DR37" s="817"/>
      <c r="DS37" s="817"/>
      <c r="DT37" s="817"/>
      <c r="DU37" s="817"/>
      <c r="DV37" s="817"/>
      <c r="DW37" s="817"/>
      <c r="DX37" s="817"/>
      <c r="DY37" s="817"/>
      <c r="DZ37" s="817"/>
      <c r="EA37" s="817"/>
      <c r="EB37" s="817"/>
      <c r="EC37" s="817"/>
      <c r="ED37" s="817"/>
      <c r="EE37" s="817"/>
      <c r="EF37" s="817"/>
      <c r="EG37" s="817"/>
      <c r="EH37" s="817"/>
      <c r="EI37" s="817"/>
      <c r="EJ37" s="817"/>
      <c r="EK37" s="817"/>
      <c r="EL37" s="817"/>
      <c r="EM37" s="817"/>
      <c r="EN37" s="817"/>
      <c r="EO37" s="817"/>
      <c r="EP37" s="817"/>
      <c r="EQ37" s="817"/>
      <c r="ER37" s="817"/>
      <c r="ES37" s="817"/>
      <c r="ET37" s="817"/>
      <c r="EU37" s="817"/>
      <c r="EV37" s="817"/>
      <c r="EW37" s="817"/>
      <c r="EX37" s="817"/>
      <c r="EY37" s="817"/>
      <c r="EZ37" s="817"/>
      <c r="FA37" s="817"/>
      <c r="FB37" s="817"/>
      <c r="FC37" s="817"/>
      <c r="FD37" s="817"/>
      <c r="FE37" s="817"/>
      <c r="FF37" s="817"/>
      <c r="FG37" s="817"/>
      <c r="FH37" s="817"/>
      <c r="FI37" s="817"/>
      <c r="FJ37" s="817"/>
      <c r="FK37" s="817"/>
      <c r="FL37" s="818">
        <f t="shared" si="0"/>
        <v>6252.6670000000004</v>
      </c>
      <c r="FM37" s="818">
        <f t="shared" si="1"/>
        <v>5321.567</v>
      </c>
    </row>
    <row r="38" spans="1:169" ht="12.75" customHeight="1">
      <c r="A38" s="816" t="s">
        <v>1368</v>
      </c>
      <c r="B38" s="817"/>
      <c r="C38" s="817"/>
      <c r="D38" s="817"/>
      <c r="E38" s="817"/>
      <c r="F38" s="817"/>
      <c r="G38" s="817"/>
      <c r="H38" s="817"/>
      <c r="I38" s="817"/>
      <c r="J38" s="817"/>
      <c r="K38" s="817"/>
      <c r="L38" s="817"/>
      <c r="M38" s="817"/>
      <c r="N38" s="817"/>
      <c r="O38" s="817"/>
      <c r="P38" s="817"/>
      <c r="Q38" s="817"/>
      <c r="R38" s="817"/>
      <c r="S38" s="817"/>
      <c r="T38" s="817"/>
      <c r="U38" s="817"/>
      <c r="V38" s="817"/>
      <c r="W38" s="817"/>
      <c r="X38" s="817"/>
      <c r="Y38" s="817"/>
      <c r="Z38" s="817"/>
      <c r="AA38" s="817"/>
      <c r="AB38" s="817"/>
      <c r="AC38" s="817"/>
      <c r="AD38" s="817"/>
      <c r="AE38" s="817"/>
      <c r="AF38" s="817"/>
      <c r="AG38" s="817"/>
      <c r="AH38" s="817"/>
      <c r="AI38" s="817"/>
      <c r="AJ38" s="817"/>
      <c r="AK38" s="817"/>
      <c r="AL38" s="817"/>
      <c r="AM38" s="817"/>
      <c r="AN38" s="817"/>
      <c r="AO38" s="817"/>
      <c r="AP38" s="817"/>
      <c r="AQ38" s="817"/>
      <c r="AR38" s="817">
        <v>5284.5</v>
      </c>
      <c r="AS38" s="817">
        <v>5284.5</v>
      </c>
      <c r="AT38" s="817"/>
      <c r="AU38" s="817"/>
      <c r="AV38" s="817"/>
      <c r="AW38" s="817"/>
      <c r="AX38" s="817"/>
      <c r="AY38" s="817"/>
      <c r="AZ38" s="817"/>
      <c r="BA38" s="817"/>
      <c r="BB38" s="817"/>
      <c r="BC38" s="817"/>
      <c r="BD38" s="817"/>
      <c r="BE38" s="817"/>
      <c r="BF38" s="817"/>
      <c r="BG38" s="817"/>
      <c r="BH38" s="817"/>
      <c r="BI38" s="817"/>
      <c r="BJ38" s="817"/>
      <c r="BK38" s="817"/>
      <c r="BL38" s="817"/>
      <c r="BM38" s="817"/>
      <c r="BN38" s="817"/>
      <c r="BO38" s="817"/>
      <c r="BP38" s="817"/>
      <c r="BQ38" s="817"/>
      <c r="BR38" s="817"/>
      <c r="BS38" s="817"/>
      <c r="BT38" s="817"/>
      <c r="BU38" s="817"/>
      <c r="BV38" s="817"/>
      <c r="BW38" s="817"/>
      <c r="BX38" s="817"/>
      <c r="BY38" s="817"/>
      <c r="BZ38" s="817"/>
      <c r="CA38" s="817"/>
      <c r="CB38" s="817"/>
      <c r="CC38" s="817"/>
      <c r="CD38" s="817"/>
      <c r="CE38" s="817"/>
      <c r="CF38" s="817"/>
      <c r="CG38" s="817"/>
      <c r="CH38" s="817"/>
      <c r="CI38" s="817"/>
      <c r="CJ38" s="817"/>
      <c r="CK38" s="817"/>
      <c r="CL38" s="817"/>
      <c r="CM38" s="817"/>
      <c r="CN38" s="817"/>
      <c r="CO38" s="817"/>
      <c r="CP38" s="817"/>
      <c r="CQ38" s="817"/>
      <c r="CR38" s="817"/>
      <c r="CS38" s="817"/>
      <c r="CT38" s="817"/>
      <c r="CU38" s="817"/>
      <c r="CV38" s="817"/>
      <c r="CW38" s="817"/>
      <c r="CX38" s="817"/>
      <c r="CY38" s="817"/>
      <c r="CZ38" s="817"/>
      <c r="DA38" s="817"/>
      <c r="DB38" s="817"/>
      <c r="DC38" s="817"/>
      <c r="DD38" s="817"/>
      <c r="DE38" s="817"/>
      <c r="DF38" s="817"/>
      <c r="DG38" s="817"/>
      <c r="DH38" s="817"/>
      <c r="DI38" s="817"/>
      <c r="DJ38" s="817"/>
      <c r="DK38" s="817"/>
      <c r="DL38" s="817"/>
      <c r="DM38" s="817"/>
      <c r="DN38" s="817"/>
      <c r="DO38" s="817"/>
      <c r="DP38" s="817"/>
      <c r="DQ38" s="817"/>
      <c r="DR38" s="817"/>
      <c r="DS38" s="817"/>
      <c r="DT38" s="817"/>
      <c r="DU38" s="817"/>
      <c r="DV38" s="817"/>
      <c r="DW38" s="817"/>
      <c r="DX38" s="817"/>
      <c r="DY38" s="817"/>
      <c r="DZ38" s="817"/>
      <c r="EA38" s="817"/>
      <c r="EB38" s="817"/>
      <c r="EC38" s="817"/>
      <c r="ED38" s="817"/>
      <c r="EE38" s="817"/>
      <c r="EF38" s="817"/>
      <c r="EG38" s="817"/>
      <c r="EH38" s="817"/>
      <c r="EI38" s="817"/>
      <c r="EJ38" s="817"/>
      <c r="EK38" s="817"/>
      <c r="EL38" s="817"/>
      <c r="EM38" s="817"/>
      <c r="EN38" s="817"/>
      <c r="EO38" s="817"/>
      <c r="EP38" s="817"/>
      <c r="EQ38" s="817"/>
      <c r="ER38" s="817"/>
      <c r="ES38" s="817"/>
      <c r="ET38" s="817"/>
      <c r="EU38" s="817"/>
      <c r="EV38" s="817"/>
      <c r="EW38" s="817"/>
      <c r="EX38" s="817"/>
      <c r="EY38" s="817"/>
      <c r="EZ38" s="817"/>
      <c r="FA38" s="817"/>
      <c r="FB38" s="817"/>
      <c r="FC38" s="817"/>
      <c r="FD38" s="817"/>
      <c r="FE38" s="817"/>
      <c r="FF38" s="817"/>
      <c r="FG38" s="817"/>
      <c r="FH38" s="817"/>
      <c r="FI38" s="817"/>
      <c r="FJ38" s="817"/>
      <c r="FK38" s="817"/>
      <c r="FL38" s="818">
        <f t="shared" si="0"/>
        <v>5284.5</v>
      </c>
      <c r="FM38" s="818">
        <f t="shared" si="1"/>
        <v>5284.5</v>
      </c>
    </row>
    <row r="39" spans="1:169">
      <c r="A39" s="816" t="s">
        <v>1369</v>
      </c>
      <c r="B39" s="817"/>
      <c r="C39" s="817"/>
      <c r="D39" s="817"/>
      <c r="E39" s="817"/>
      <c r="F39" s="817"/>
      <c r="G39" s="817"/>
      <c r="H39" s="817"/>
      <c r="I39" s="817"/>
      <c r="J39" s="817"/>
      <c r="K39" s="817"/>
      <c r="L39" s="817"/>
      <c r="M39" s="817"/>
      <c r="N39" s="817"/>
      <c r="O39" s="817"/>
      <c r="P39" s="817"/>
      <c r="Q39" s="817"/>
      <c r="R39" s="817"/>
      <c r="S39" s="817"/>
      <c r="T39" s="817"/>
      <c r="U39" s="817"/>
      <c r="V39" s="817"/>
      <c r="W39" s="817"/>
      <c r="X39" s="817"/>
      <c r="Y39" s="817"/>
      <c r="Z39" s="817"/>
      <c r="AA39" s="817"/>
      <c r="AB39" s="817"/>
      <c r="AC39" s="817"/>
      <c r="AD39" s="817"/>
      <c r="AE39" s="817"/>
      <c r="AF39" s="817"/>
      <c r="AG39" s="817"/>
      <c r="AH39" s="817"/>
      <c r="AI39" s="817"/>
      <c r="AJ39" s="817"/>
      <c r="AK39" s="817"/>
      <c r="AL39" s="817"/>
      <c r="AM39" s="817"/>
      <c r="AN39" s="817"/>
      <c r="AO39" s="817"/>
      <c r="AP39" s="817"/>
      <c r="AQ39" s="817"/>
      <c r="AR39" s="817"/>
      <c r="AS39" s="817"/>
      <c r="AT39" s="817"/>
      <c r="AU39" s="817"/>
      <c r="AV39" s="817"/>
      <c r="AW39" s="817"/>
      <c r="AX39" s="817"/>
      <c r="AY39" s="817"/>
      <c r="AZ39" s="817"/>
      <c r="BA39" s="817"/>
      <c r="BB39" s="817"/>
      <c r="BC39" s="817"/>
      <c r="BD39" s="817"/>
      <c r="BE39" s="817"/>
      <c r="BF39" s="817"/>
      <c r="BG39" s="817"/>
      <c r="BH39" s="817"/>
      <c r="BI39" s="817"/>
      <c r="BJ39" s="817"/>
      <c r="BK39" s="817"/>
      <c r="BL39" s="817"/>
      <c r="BM39" s="817"/>
      <c r="BN39" s="817"/>
      <c r="BO39" s="817"/>
      <c r="BP39" s="817"/>
      <c r="BQ39" s="817"/>
      <c r="BR39" s="817"/>
      <c r="BS39" s="817"/>
      <c r="BT39" s="817"/>
      <c r="BU39" s="817"/>
      <c r="BV39" s="817"/>
      <c r="BW39" s="817"/>
      <c r="BX39" s="817"/>
      <c r="BY39" s="817"/>
      <c r="BZ39" s="817"/>
      <c r="CA39" s="817"/>
      <c r="CB39" s="817"/>
      <c r="CC39" s="817"/>
      <c r="CD39" s="817"/>
      <c r="CE39" s="817"/>
      <c r="CF39" s="817"/>
      <c r="CG39" s="817"/>
      <c r="CH39" s="817"/>
      <c r="CI39" s="817"/>
      <c r="CJ39" s="817"/>
      <c r="CK39" s="817"/>
      <c r="CL39" s="817"/>
      <c r="CM39" s="817"/>
      <c r="CN39" s="817"/>
      <c r="CO39" s="817"/>
      <c r="CP39" s="817"/>
      <c r="CQ39" s="817"/>
      <c r="CR39" s="817"/>
      <c r="CS39" s="817"/>
      <c r="CT39" s="817"/>
      <c r="CU39" s="817"/>
      <c r="CV39" s="817"/>
      <c r="CW39" s="817"/>
      <c r="CX39" s="817"/>
      <c r="CY39" s="817"/>
      <c r="CZ39" s="817"/>
      <c r="DA39" s="817"/>
      <c r="DB39" s="817"/>
      <c r="DC39" s="817"/>
      <c r="DD39" s="817"/>
      <c r="DE39" s="817"/>
      <c r="DF39" s="817"/>
      <c r="DG39" s="817"/>
      <c r="DH39" s="817"/>
      <c r="DI39" s="817"/>
      <c r="DJ39" s="817"/>
      <c r="DK39" s="817"/>
      <c r="DL39" s="817"/>
      <c r="DM39" s="817"/>
      <c r="DN39" s="817"/>
      <c r="DO39" s="817"/>
      <c r="DP39" s="817"/>
      <c r="DQ39" s="817"/>
      <c r="DR39" s="817"/>
      <c r="DS39" s="817"/>
      <c r="DT39" s="817"/>
      <c r="DU39" s="817"/>
      <c r="DV39" s="817"/>
      <c r="DW39" s="817"/>
      <c r="DX39" s="817"/>
      <c r="DY39" s="817"/>
      <c r="DZ39" s="817"/>
      <c r="EA39" s="817"/>
      <c r="EB39" s="817"/>
      <c r="EC39" s="817"/>
      <c r="ED39" s="817"/>
      <c r="EE39" s="817"/>
      <c r="EF39" s="817"/>
      <c r="EG39" s="817"/>
      <c r="EH39" s="817"/>
      <c r="EI39" s="817"/>
      <c r="EJ39" s="817"/>
      <c r="EK39" s="817"/>
      <c r="EL39" s="817"/>
      <c r="EM39" s="817"/>
      <c r="EN39" s="817"/>
      <c r="EO39" s="817"/>
      <c r="EP39" s="817"/>
      <c r="EQ39" s="817"/>
      <c r="ER39" s="817"/>
      <c r="ES39" s="817"/>
      <c r="ET39" s="817"/>
      <c r="EU39" s="817"/>
      <c r="EV39" s="817"/>
      <c r="EW39" s="817"/>
      <c r="EX39" s="817"/>
      <c r="EY39" s="817"/>
      <c r="EZ39" s="817"/>
      <c r="FA39" s="817"/>
      <c r="FB39" s="817"/>
      <c r="FC39" s="817"/>
      <c r="FD39" s="817"/>
      <c r="FE39" s="817"/>
      <c r="FF39" s="817"/>
      <c r="FG39" s="817"/>
      <c r="FH39" s="817"/>
      <c r="FI39" s="817"/>
      <c r="FJ39" s="817"/>
      <c r="FK39" s="817"/>
      <c r="FL39" s="818">
        <f t="shared" si="0"/>
        <v>0</v>
      </c>
      <c r="FM39" s="818">
        <f t="shared" si="1"/>
        <v>0</v>
      </c>
    </row>
    <row r="40" spans="1:169">
      <c r="A40" s="816" t="s">
        <v>1370</v>
      </c>
      <c r="B40" s="817"/>
      <c r="C40" s="817"/>
      <c r="D40" s="817"/>
      <c r="E40" s="817"/>
      <c r="F40" s="817"/>
      <c r="G40" s="817"/>
      <c r="H40" s="817"/>
      <c r="I40" s="817"/>
      <c r="J40" s="817"/>
      <c r="K40" s="817"/>
      <c r="L40" s="817"/>
      <c r="M40" s="817"/>
      <c r="N40" s="817"/>
      <c r="O40" s="817"/>
      <c r="P40" s="817"/>
      <c r="Q40" s="817"/>
      <c r="R40" s="817"/>
      <c r="S40" s="817"/>
      <c r="T40" s="817"/>
      <c r="U40" s="817"/>
      <c r="V40" s="817"/>
      <c r="W40" s="817"/>
      <c r="X40" s="817"/>
      <c r="Y40" s="817"/>
      <c r="Z40" s="817"/>
      <c r="AA40" s="817"/>
      <c r="AB40" s="817"/>
      <c r="AC40" s="817"/>
      <c r="AD40" s="817"/>
      <c r="AE40" s="817"/>
      <c r="AF40" s="817"/>
      <c r="AG40" s="817"/>
      <c r="AH40" s="817"/>
      <c r="AI40" s="817"/>
      <c r="AJ40" s="817"/>
      <c r="AK40" s="817"/>
      <c r="AL40" s="817"/>
      <c r="AM40" s="817"/>
      <c r="AN40" s="817"/>
      <c r="AO40" s="817"/>
      <c r="AP40" s="817"/>
      <c r="AQ40" s="817"/>
      <c r="AR40" s="817"/>
      <c r="AS40" s="817"/>
      <c r="AT40" s="817"/>
      <c r="AU40" s="817"/>
      <c r="AV40" s="817"/>
      <c r="AW40" s="817"/>
      <c r="AX40" s="817"/>
      <c r="AY40" s="817"/>
      <c r="AZ40" s="817"/>
      <c r="BA40" s="817"/>
      <c r="BB40" s="817"/>
      <c r="BC40" s="817"/>
      <c r="BD40" s="817"/>
      <c r="BE40" s="817"/>
      <c r="BF40" s="817"/>
      <c r="BG40" s="817"/>
      <c r="BH40" s="817"/>
      <c r="BI40" s="817"/>
      <c r="BJ40" s="817"/>
      <c r="BK40" s="817"/>
      <c r="BL40" s="817"/>
      <c r="BM40" s="817"/>
      <c r="BN40" s="817"/>
      <c r="BO40" s="817"/>
      <c r="BP40" s="817"/>
      <c r="BQ40" s="817"/>
      <c r="BR40" s="817"/>
      <c r="BS40" s="817"/>
      <c r="BT40" s="817"/>
      <c r="BU40" s="817"/>
      <c r="BV40" s="817"/>
      <c r="BW40" s="817"/>
      <c r="BX40" s="817"/>
      <c r="BY40" s="817"/>
      <c r="BZ40" s="817"/>
      <c r="CA40" s="817"/>
      <c r="CB40" s="817"/>
      <c r="CC40" s="817"/>
      <c r="CD40" s="817"/>
      <c r="CE40" s="817"/>
      <c r="CF40" s="817"/>
      <c r="CG40" s="817"/>
      <c r="CH40" s="817"/>
      <c r="CI40" s="817"/>
      <c r="CJ40" s="817"/>
      <c r="CK40" s="817"/>
      <c r="CL40" s="817"/>
      <c r="CM40" s="817"/>
      <c r="CN40" s="817"/>
      <c r="CO40" s="817"/>
      <c r="CP40" s="817"/>
      <c r="CQ40" s="817"/>
      <c r="CR40" s="817"/>
      <c r="CS40" s="817"/>
      <c r="CT40" s="817"/>
      <c r="CU40" s="817"/>
      <c r="CV40" s="817"/>
      <c r="CW40" s="817"/>
      <c r="CX40" s="817"/>
      <c r="CY40" s="817"/>
      <c r="CZ40" s="817"/>
      <c r="DA40" s="817"/>
      <c r="DB40" s="817"/>
      <c r="DC40" s="817"/>
      <c r="DD40" s="817"/>
      <c r="DE40" s="817"/>
      <c r="DF40" s="817"/>
      <c r="DG40" s="817"/>
      <c r="DH40" s="817"/>
      <c r="DI40" s="817"/>
      <c r="DJ40" s="817"/>
      <c r="DK40" s="817"/>
      <c r="DL40" s="817"/>
      <c r="DM40" s="817"/>
      <c r="DN40" s="817"/>
      <c r="DO40" s="817"/>
      <c r="DP40" s="817"/>
      <c r="DQ40" s="817"/>
      <c r="DR40" s="817"/>
      <c r="DS40" s="817"/>
      <c r="DT40" s="817"/>
      <c r="DU40" s="817"/>
      <c r="DV40" s="817"/>
      <c r="DW40" s="817"/>
      <c r="DX40" s="817"/>
      <c r="DY40" s="817"/>
      <c r="DZ40" s="817"/>
      <c r="EA40" s="817"/>
      <c r="EB40" s="817"/>
      <c r="EC40" s="817"/>
      <c r="ED40" s="817"/>
      <c r="EE40" s="817"/>
      <c r="EF40" s="817"/>
      <c r="EG40" s="817"/>
      <c r="EH40" s="817"/>
      <c r="EI40" s="817"/>
      <c r="EJ40" s="817"/>
      <c r="EK40" s="817"/>
      <c r="EL40" s="817"/>
      <c r="EM40" s="817"/>
      <c r="EN40" s="817"/>
      <c r="EO40" s="817"/>
      <c r="EP40" s="817"/>
      <c r="EQ40" s="817"/>
      <c r="ER40" s="817"/>
      <c r="ES40" s="817"/>
      <c r="ET40" s="817"/>
      <c r="EU40" s="817"/>
      <c r="EV40" s="817"/>
      <c r="EW40" s="817"/>
      <c r="EX40" s="817"/>
      <c r="EY40" s="817"/>
      <c r="EZ40" s="817"/>
      <c r="FA40" s="817"/>
      <c r="FB40" s="817"/>
      <c r="FC40" s="817"/>
      <c r="FD40" s="817"/>
      <c r="FE40" s="817"/>
      <c r="FF40" s="817"/>
      <c r="FG40" s="817"/>
      <c r="FH40" s="817"/>
      <c r="FI40" s="817"/>
      <c r="FJ40" s="817"/>
      <c r="FK40" s="817"/>
      <c r="FL40" s="818">
        <f t="shared" si="0"/>
        <v>0</v>
      </c>
      <c r="FM40" s="818">
        <f t="shared" si="1"/>
        <v>0</v>
      </c>
    </row>
    <row r="41" spans="1:169">
      <c r="A41" s="816" t="s">
        <v>1371</v>
      </c>
      <c r="B41" s="817"/>
      <c r="C41" s="817"/>
      <c r="D41" s="817"/>
      <c r="E41" s="817"/>
      <c r="F41" s="817"/>
      <c r="G41" s="817"/>
      <c r="H41" s="817"/>
      <c r="I41" s="817"/>
      <c r="J41" s="817"/>
      <c r="K41" s="817"/>
      <c r="L41" s="817"/>
      <c r="M41" s="817"/>
      <c r="N41" s="817"/>
      <c r="O41" s="817"/>
      <c r="P41" s="817"/>
      <c r="Q41" s="817"/>
      <c r="R41" s="817"/>
      <c r="S41" s="817"/>
      <c r="T41" s="817"/>
      <c r="U41" s="817"/>
      <c r="V41" s="817"/>
      <c r="W41" s="817"/>
      <c r="X41" s="817"/>
      <c r="Y41" s="817"/>
      <c r="Z41" s="817"/>
      <c r="AA41" s="817"/>
      <c r="AB41" s="817"/>
      <c r="AC41" s="817"/>
      <c r="AD41" s="817"/>
      <c r="AE41" s="817"/>
      <c r="AF41" s="817"/>
      <c r="AG41" s="817"/>
      <c r="AH41" s="817"/>
      <c r="AI41" s="817"/>
      <c r="AJ41" s="817"/>
      <c r="AK41" s="817"/>
      <c r="AL41" s="817"/>
      <c r="AM41" s="817"/>
      <c r="AN41" s="817"/>
      <c r="AO41" s="817"/>
      <c r="AP41" s="817"/>
      <c r="AQ41" s="817"/>
      <c r="AR41" s="817"/>
      <c r="AS41" s="817"/>
      <c r="AT41" s="817"/>
      <c r="AU41" s="817"/>
      <c r="AV41" s="817"/>
      <c r="AW41" s="817"/>
      <c r="AX41" s="817"/>
      <c r="AY41" s="817"/>
      <c r="AZ41" s="817"/>
      <c r="BA41" s="817"/>
      <c r="BB41" s="817"/>
      <c r="BC41" s="817"/>
      <c r="BD41" s="817"/>
      <c r="BE41" s="817"/>
      <c r="BF41" s="817"/>
      <c r="BG41" s="817"/>
      <c r="BH41" s="817"/>
      <c r="BI41" s="817"/>
      <c r="BJ41" s="817"/>
      <c r="BK41" s="817"/>
      <c r="BL41" s="817"/>
      <c r="BM41" s="817"/>
      <c r="BN41" s="817"/>
      <c r="BO41" s="817"/>
      <c r="BP41" s="817"/>
      <c r="BQ41" s="817"/>
      <c r="BR41" s="817"/>
      <c r="BS41" s="817"/>
      <c r="BT41" s="817"/>
      <c r="BU41" s="817"/>
      <c r="BV41" s="817"/>
      <c r="BW41" s="817"/>
      <c r="BX41" s="817"/>
      <c r="BY41" s="817"/>
      <c r="BZ41" s="817"/>
      <c r="CA41" s="817"/>
      <c r="CB41" s="817"/>
      <c r="CC41" s="817"/>
      <c r="CD41" s="817"/>
      <c r="CE41" s="817"/>
      <c r="CF41" s="817"/>
      <c r="CG41" s="817"/>
      <c r="CH41" s="817"/>
      <c r="CI41" s="817"/>
      <c r="CJ41" s="817"/>
      <c r="CK41" s="817"/>
      <c r="CL41" s="817"/>
      <c r="CM41" s="817"/>
      <c r="CN41" s="817"/>
      <c r="CO41" s="817"/>
      <c r="CP41" s="817"/>
      <c r="CQ41" s="817"/>
      <c r="CR41" s="817"/>
      <c r="CS41" s="817"/>
      <c r="CT41" s="817"/>
      <c r="CU41" s="817"/>
      <c r="CV41" s="817"/>
      <c r="CW41" s="817"/>
      <c r="CX41" s="817"/>
      <c r="CY41" s="817"/>
      <c r="CZ41" s="817"/>
      <c r="DA41" s="817"/>
      <c r="DB41" s="817"/>
      <c r="DC41" s="817"/>
      <c r="DD41" s="817"/>
      <c r="DE41" s="817"/>
      <c r="DF41" s="817"/>
      <c r="DG41" s="817"/>
      <c r="DH41" s="817"/>
      <c r="DI41" s="817"/>
      <c r="DJ41" s="817"/>
      <c r="DK41" s="817"/>
      <c r="DL41" s="817"/>
      <c r="DM41" s="817"/>
      <c r="DN41" s="817"/>
      <c r="DO41" s="817"/>
      <c r="DP41" s="817"/>
      <c r="DQ41" s="817"/>
      <c r="DR41" s="817"/>
      <c r="DS41" s="817"/>
      <c r="DT41" s="817"/>
      <c r="DU41" s="817"/>
      <c r="DV41" s="817"/>
      <c r="DW41" s="817"/>
      <c r="DX41" s="817"/>
      <c r="DY41" s="817"/>
      <c r="DZ41" s="817"/>
      <c r="EA41" s="817"/>
      <c r="EB41" s="817"/>
      <c r="EC41" s="817"/>
      <c r="ED41" s="817"/>
      <c r="EE41" s="817"/>
      <c r="EF41" s="817"/>
      <c r="EG41" s="817"/>
      <c r="EH41" s="817"/>
      <c r="EI41" s="817"/>
      <c r="EJ41" s="817"/>
      <c r="EK41" s="817"/>
      <c r="EL41" s="817"/>
      <c r="EM41" s="817"/>
      <c r="EN41" s="817"/>
      <c r="EO41" s="817"/>
      <c r="EP41" s="817"/>
      <c r="EQ41" s="817"/>
      <c r="ER41" s="817"/>
      <c r="ES41" s="817"/>
      <c r="ET41" s="817"/>
      <c r="EU41" s="817"/>
      <c r="EV41" s="817"/>
      <c r="EW41" s="817"/>
      <c r="EX41" s="817"/>
      <c r="EY41" s="817"/>
      <c r="EZ41" s="817"/>
      <c r="FA41" s="817"/>
      <c r="FB41" s="817"/>
      <c r="FC41" s="817"/>
      <c r="FD41" s="817"/>
      <c r="FE41" s="817"/>
      <c r="FF41" s="817"/>
      <c r="FG41" s="817"/>
      <c r="FH41" s="817"/>
      <c r="FI41" s="817"/>
      <c r="FJ41" s="817"/>
      <c r="FK41" s="817"/>
      <c r="FL41" s="818">
        <f t="shared" si="0"/>
        <v>0</v>
      </c>
      <c r="FM41" s="818">
        <f t="shared" si="1"/>
        <v>0</v>
      </c>
    </row>
    <row r="42" spans="1:169" s="820" customFormat="1">
      <c r="A42" s="816" t="s">
        <v>1333</v>
      </c>
      <c r="B42" s="817">
        <f>SUM(B3:B41)</f>
        <v>3918.3609999999999</v>
      </c>
      <c r="C42" s="817">
        <f t="shared" ref="C42:BV42" si="2">SUM(C3:C41)</f>
        <v>3810.6930000000002</v>
      </c>
      <c r="D42" s="817">
        <f t="shared" si="2"/>
        <v>0</v>
      </c>
      <c r="E42" s="817">
        <f t="shared" si="2"/>
        <v>0</v>
      </c>
      <c r="F42" s="817">
        <f t="shared" si="2"/>
        <v>3375.9749999999999</v>
      </c>
      <c r="G42" s="817">
        <f t="shared" si="2"/>
        <v>3326.1149999999998</v>
      </c>
      <c r="H42" s="817">
        <f t="shared" si="2"/>
        <v>4500</v>
      </c>
      <c r="I42" s="817">
        <f t="shared" si="2"/>
        <v>4500</v>
      </c>
      <c r="J42" s="817">
        <f t="shared" si="2"/>
        <v>2567.0970000000002</v>
      </c>
      <c r="K42" s="817">
        <f t="shared" si="2"/>
        <v>2566.7809999999999</v>
      </c>
      <c r="L42" s="817">
        <f t="shared" si="2"/>
        <v>1129.8579999999999</v>
      </c>
      <c r="M42" s="817">
        <f t="shared" si="2"/>
        <v>1115.973</v>
      </c>
      <c r="N42" s="817">
        <f t="shared" si="2"/>
        <v>172595.97299999997</v>
      </c>
      <c r="O42" s="817">
        <f t="shared" si="2"/>
        <v>172517.288</v>
      </c>
      <c r="P42" s="817">
        <f t="shared" si="2"/>
        <v>184426.78099999999</v>
      </c>
      <c r="Q42" s="817">
        <f t="shared" si="2"/>
        <v>172660.92800000001</v>
      </c>
      <c r="R42" s="817">
        <f t="shared" si="2"/>
        <v>292041.85399999999</v>
      </c>
      <c r="S42" s="817">
        <f t="shared" si="2"/>
        <v>197243.38200000001</v>
      </c>
      <c r="T42" s="817">
        <f t="shared" si="2"/>
        <v>112067.933</v>
      </c>
      <c r="U42" s="817">
        <f t="shared" si="2"/>
        <v>111912.541</v>
      </c>
      <c r="V42" s="817">
        <f t="shared" si="2"/>
        <v>9271.34</v>
      </c>
      <c r="W42" s="817">
        <f t="shared" si="2"/>
        <v>9269.9779999999992</v>
      </c>
      <c r="X42" s="817">
        <f t="shared" si="2"/>
        <v>909.19999999999993</v>
      </c>
      <c r="Y42" s="817">
        <f t="shared" si="2"/>
        <v>909.19999999999993</v>
      </c>
      <c r="Z42" s="817">
        <f t="shared" si="2"/>
        <v>4491.7759999999998</v>
      </c>
      <c r="AA42" s="817">
        <f t="shared" si="2"/>
        <v>4408.16</v>
      </c>
      <c r="AB42" s="817">
        <f t="shared" si="2"/>
        <v>4778.8720000000003</v>
      </c>
      <c r="AC42" s="817">
        <f t="shared" si="2"/>
        <v>4776.5400000000009</v>
      </c>
      <c r="AD42" s="817">
        <f t="shared" si="2"/>
        <v>91596.695000000007</v>
      </c>
      <c r="AE42" s="817">
        <f t="shared" si="2"/>
        <v>90529.576000000001</v>
      </c>
      <c r="AF42" s="817">
        <f t="shared" si="2"/>
        <v>0</v>
      </c>
      <c r="AG42" s="817">
        <f t="shared" si="2"/>
        <v>0</v>
      </c>
      <c r="AH42" s="817">
        <f t="shared" si="2"/>
        <v>475.53100000000001</v>
      </c>
      <c r="AI42" s="817">
        <f t="shared" si="2"/>
        <v>475.53100000000001</v>
      </c>
      <c r="AJ42" s="817">
        <f t="shared" si="2"/>
        <v>292.976</v>
      </c>
      <c r="AK42" s="817">
        <f t="shared" si="2"/>
        <v>284.976</v>
      </c>
      <c r="AL42" s="817">
        <f t="shared" si="2"/>
        <v>1600</v>
      </c>
      <c r="AM42" s="817">
        <f t="shared" si="2"/>
        <v>1600</v>
      </c>
      <c r="AN42" s="817">
        <f t="shared" si="2"/>
        <v>1933.8230000000001</v>
      </c>
      <c r="AO42" s="817">
        <f t="shared" si="2"/>
        <v>1928.8230000000001</v>
      </c>
      <c r="AP42" s="817">
        <f t="shared" si="2"/>
        <v>2491.5160000000001</v>
      </c>
      <c r="AQ42" s="817">
        <f t="shared" si="2"/>
        <v>2491.5160000000001</v>
      </c>
      <c r="AR42" s="817">
        <f t="shared" si="2"/>
        <v>11537.167000000001</v>
      </c>
      <c r="AS42" s="817">
        <f t="shared" si="2"/>
        <v>10606.066999999999</v>
      </c>
      <c r="AT42" s="817">
        <f t="shared" si="2"/>
        <v>223.375</v>
      </c>
      <c r="AU42" s="817">
        <f t="shared" si="2"/>
        <v>223.375</v>
      </c>
      <c r="AV42" s="817">
        <f t="shared" si="2"/>
        <v>3097.9479999999999</v>
      </c>
      <c r="AW42" s="817">
        <f t="shared" si="2"/>
        <v>3097.9479999999999</v>
      </c>
      <c r="AX42" s="817">
        <f t="shared" si="2"/>
        <v>1443.155</v>
      </c>
      <c r="AY42" s="817">
        <f t="shared" si="2"/>
        <v>1438.7</v>
      </c>
      <c r="AZ42" s="817">
        <f t="shared" si="2"/>
        <v>7</v>
      </c>
      <c r="BA42" s="817">
        <f t="shared" si="2"/>
        <v>7</v>
      </c>
      <c r="BB42" s="817">
        <f t="shared" si="2"/>
        <v>56651.872000000003</v>
      </c>
      <c r="BC42" s="817">
        <f t="shared" si="2"/>
        <v>56468.512999999999</v>
      </c>
      <c r="BD42" s="817">
        <f t="shared" si="2"/>
        <v>0</v>
      </c>
      <c r="BE42" s="817">
        <f t="shared" si="2"/>
        <v>0</v>
      </c>
      <c r="BF42" s="817">
        <f t="shared" si="2"/>
        <v>16131.5</v>
      </c>
      <c r="BG42" s="817">
        <f t="shared" si="2"/>
        <v>16131.5</v>
      </c>
      <c r="BH42" s="817">
        <f t="shared" si="2"/>
        <v>52224</v>
      </c>
      <c r="BI42" s="817">
        <f t="shared" si="2"/>
        <v>52224</v>
      </c>
      <c r="BJ42" s="817">
        <f t="shared" si="2"/>
        <v>1</v>
      </c>
      <c r="BK42" s="817">
        <f t="shared" si="2"/>
        <v>0</v>
      </c>
      <c r="BL42" s="817">
        <f t="shared" si="2"/>
        <v>48037.819000000003</v>
      </c>
      <c r="BM42" s="817">
        <f t="shared" si="2"/>
        <v>46277.212999999996</v>
      </c>
      <c r="BN42" s="817">
        <f t="shared" si="2"/>
        <v>85749.906000000003</v>
      </c>
      <c r="BO42" s="817">
        <f t="shared" si="2"/>
        <v>85189.513000000006</v>
      </c>
      <c r="BP42" s="817">
        <f t="shared" si="2"/>
        <v>0</v>
      </c>
      <c r="BQ42" s="817">
        <f t="shared" si="2"/>
        <v>0</v>
      </c>
      <c r="BR42" s="817">
        <f t="shared" si="2"/>
        <v>0</v>
      </c>
      <c r="BS42" s="817">
        <f t="shared" si="2"/>
        <v>0</v>
      </c>
      <c r="BT42" s="817">
        <f t="shared" si="2"/>
        <v>12872.723000000002</v>
      </c>
      <c r="BU42" s="817">
        <f t="shared" si="2"/>
        <v>12858.678</v>
      </c>
      <c r="BV42" s="817">
        <f t="shared" si="2"/>
        <v>0</v>
      </c>
      <c r="BW42" s="817">
        <f t="shared" ref="BW42:EV42" si="3">SUM(BW3:BW41)</f>
        <v>0</v>
      </c>
      <c r="BX42" s="817">
        <f>SUM(BX3:BX41)</f>
        <v>350.11099999999999</v>
      </c>
      <c r="BY42" s="817">
        <f>SUM(BY3:BY41)</f>
        <v>350.11099999999999</v>
      </c>
      <c r="BZ42" s="817">
        <f t="shared" si="3"/>
        <v>9256.9850000000006</v>
      </c>
      <c r="CA42" s="817">
        <f t="shared" si="3"/>
        <v>9256.1020000000008</v>
      </c>
      <c r="CB42" s="817">
        <f>SUM(CB3:CB41)</f>
        <v>23197</v>
      </c>
      <c r="CC42" s="817">
        <f>SUM(CC3:CC41)</f>
        <v>22237.288</v>
      </c>
      <c r="CD42" s="817">
        <f t="shared" si="3"/>
        <v>312.10000000000002</v>
      </c>
      <c r="CE42" s="817">
        <f t="shared" si="3"/>
        <v>0</v>
      </c>
      <c r="CF42" s="817">
        <f t="shared" si="3"/>
        <v>910</v>
      </c>
      <c r="CG42" s="817">
        <f t="shared" si="3"/>
        <v>910</v>
      </c>
      <c r="CH42" s="817">
        <f t="shared" ref="CH42:CI42" si="4">SUM(CH3:CH41)</f>
        <v>102.205</v>
      </c>
      <c r="CI42" s="817">
        <f t="shared" si="4"/>
        <v>87.204999999999998</v>
      </c>
      <c r="CJ42" s="817">
        <f t="shared" si="3"/>
        <v>424</v>
      </c>
      <c r="CK42" s="817">
        <f t="shared" si="3"/>
        <v>424</v>
      </c>
      <c r="CL42" s="817">
        <f t="shared" si="3"/>
        <v>4020.8300000000004</v>
      </c>
      <c r="CM42" s="817">
        <f t="shared" si="3"/>
        <v>4011.2640000000001</v>
      </c>
      <c r="CN42" s="817">
        <f t="shared" si="3"/>
        <v>0</v>
      </c>
      <c r="CO42" s="817">
        <f t="shared" si="3"/>
        <v>0</v>
      </c>
      <c r="CP42" s="817">
        <f t="shared" si="3"/>
        <v>0</v>
      </c>
      <c r="CQ42" s="817">
        <f t="shared" si="3"/>
        <v>0</v>
      </c>
      <c r="CR42" s="817">
        <f t="shared" si="3"/>
        <v>226.166</v>
      </c>
      <c r="CS42" s="817">
        <f t="shared" si="3"/>
        <v>226.166</v>
      </c>
      <c r="CT42" s="817">
        <f t="shared" si="3"/>
        <v>0</v>
      </c>
      <c r="CU42" s="817">
        <f t="shared" si="3"/>
        <v>0</v>
      </c>
      <c r="CV42" s="817">
        <f t="shared" si="3"/>
        <v>0</v>
      </c>
      <c r="CW42" s="817">
        <f t="shared" si="3"/>
        <v>0</v>
      </c>
      <c r="CX42" s="817">
        <f t="shared" si="3"/>
        <v>0</v>
      </c>
      <c r="CY42" s="817">
        <f t="shared" si="3"/>
        <v>0</v>
      </c>
      <c r="CZ42" s="817">
        <f t="shared" si="3"/>
        <v>0</v>
      </c>
      <c r="DA42" s="817">
        <f t="shared" si="3"/>
        <v>0</v>
      </c>
      <c r="DB42" s="817">
        <f t="shared" si="3"/>
        <v>0</v>
      </c>
      <c r="DC42" s="817">
        <f t="shared" si="3"/>
        <v>0</v>
      </c>
      <c r="DD42" s="817">
        <f t="shared" si="3"/>
        <v>0</v>
      </c>
      <c r="DE42" s="817">
        <f t="shared" si="3"/>
        <v>0</v>
      </c>
      <c r="DF42" s="817">
        <f t="shared" si="3"/>
        <v>0</v>
      </c>
      <c r="DG42" s="817">
        <f t="shared" si="3"/>
        <v>0</v>
      </c>
      <c r="DH42" s="817">
        <f t="shared" si="3"/>
        <v>0</v>
      </c>
      <c r="DI42" s="817">
        <f t="shared" si="3"/>
        <v>0</v>
      </c>
      <c r="DJ42" s="817">
        <f t="shared" si="3"/>
        <v>0</v>
      </c>
      <c r="DK42" s="817">
        <f t="shared" si="3"/>
        <v>0</v>
      </c>
      <c r="DL42" s="817">
        <f t="shared" si="3"/>
        <v>0</v>
      </c>
      <c r="DM42" s="817">
        <f t="shared" si="3"/>
        <v>0</v>
      </c>
      <c r="DN42" s="817">
        <f t="shared" si="3"/>
        <v>0</v>
      </c>
      <c r="DO42" s="817">
        <f t="shared" si="3"/>
        <v>0</v>
      </c>
      <c r="DP42" s="817">
        <f t="shared" si="3"/>
        <v>0</v>
      </c>
      <c r="DQ42" s="817">
        <f t="shared" si="3"/>
        <v>0</v>
      </c>
      <c r="DR42" s="817">
        <f t="shared" si="3"/>
        <v>0</v>
      </c>
      <c r="DS42" s="817">
        <f t="shared" si="3"/>
        <v>0</v>
      </c>
      <c r="DT42" s="817">
        <f t="shared" si="3"/>
        <v>0</v>
      </c>
      <c r="DU42" s="817">
        <f t="shared" si="3"/>
        <v>0</v>
      </c>
      <c r="DV42" s="817">
        <f t="shared" si="3"/>
        <v>0</v>
      </c>
      <c r="DW42" s="817">
        <f t="shared" si="3"/>
        <v>0</v>
      </c>
      <c r="DX42" s="817">
        <f t="shared" si="3"/>
        <v>0</v>
      </c>
      <c r="DY42" s="817">
        <f t="shared" si="3"/>
        <v>0</v>
      </c>
      <c r="DZ42" s="817">
        <f t="shared" si="3"/>
        <v>0</v>
      </c>
      <c r="EA42" s="817">
        <f t="shared" si="3"/>
        <v>0</v>
      </c>
      <c r="EB42" s="817">
        <f t="shared" si="3"/>
        <v>0</v>
      </c>
      <c r="EC42" s="817">
        <f t="shared" si="3"/>
        <v>0</v>
      </c>
      <c r="ED42" s="817">
        <f t="shared" si="3"/>
        <v>0</v>
      </c>
      <c r="EE42" s="817">
        <f t="shared" si="3"/>
        <v>0</v>
      </c>
      <c r="EF42" s="817">
        <f t="shared" si="3"/>
        <v>0</v>
      </c>
      <c r="EG42" s="817">
        <f t="shared" si="3"/>
        <v>0</v>
      </c>
      <c r="EH42" s="817">
        <f t="shared" si="3"/>
        <v>0</v>
      </c>
      <c r="EI42" s="817">
        <f t="shared" si="3"/>
        <v>0</v>
      </c>
      <c r="EJ42" s="817">
        <f t="shared" si="3"/>
        <v>0</v>
      </c>
      <c r="EK42" s="817">
        <f t="shared" si="3"/>
        <v>0</v>
      </c>
      <c r="EL42" s="817">
        <f t="shared" si="3"/>
        <v>0</v>
      </c>
      <c r="EM42" s="817">
        <f t="shared" si="3"/>
        <v>0</v>
      </c>
      <c r="EN42" s="817">
        <f t="shared" si="3"/>
        <v>0</v>
      </c>
      <c r="EO42" s="817">
        <f t="shared" si="3"/>
        <v>0</v>
      </c>
      <c r="EP42" s="817">
        <f t="shared" si="3"/>
        <v>0</v>
      </c>
      <c r="EQ42" s="817">
        <f t="shared" si="3"/>
        <v>0</v>
      </c>
      <c r="ER42" s="817">
        <f t="shared" si="3"/>
        <v>0</v>
      </c>
      <c r="ES42" s="817">
        <f t="shared" si="3"/>
        <v>0</v>
      </c>
      <c r="ET42" s="817">
        <f t="shared" si="3"/>
        <v>0</v>
      </c>
      <c r="EU42" s="817">
        <f t="shared" si="3"/>
        <v>0</v>
      </c>
      <c r="EV42" s="817">
        <f t="shared" si="3"/>
        <v>0</v>
      </c>
      <c r="EW42" s="817">
        <f t="shared" ref="EW42:FK42" si="5">SUM(EW3:EW41)</f>
        <v>0</v>
      </c>
      <c r="EX42" s="817">
        <f t="shared" si="5"/>
        <v>0</v>
      </c>
      <c r="EY42" s="817">
        <f t="shared" si="5"/>
        <v>0</v>
      </c>
      <c r="EZ42" s="817">
        <f t="shared" si="5"/>
        <v>0</v>
      </c>
      <c r="FA42" s="817">
        <f t="shared" si="5"/>
        <v>0</v>
      </c>
      <c r="FB42" s="817">
        <f t="shared" si="5"/>
        <v>0</v>
      </c>
      <c r="FC42" s="817">
        <f t="shared" si="5"/>
        <v>0</v>
      </c>
      <c r="FD42" s="817">
        <f t="shared" si="5"/>
        <v>0</v>
      </c>
      <c r="FE42" s="817">
        <f t="shared" si="5"/>
        <v>0</v>
      </c>
      <c r="FF42" s="817">
        <f t="shared" si="5"/>
        <v>0</v>
      </c>
      <c r="FG42" s="817">
        <f t="shared" si="5"/>
        <v>0</v>
      </c>
      <c r="FH42" s="817">
        <f t="shared" si="5"/>
        <v>0</v>
      </c>
      <c r="FI42" s="817">
        <f t="shared" si="5"/>
        <v>0</v>
      </c>
      <c r="FJ42" s="817">
        <f t="shared" si="5"/>
        <v>0</v>
      </c>
      <c r="FK42" s="817">
        <f t="shared" si="5"/>
        <v>0</v>
      </c>
      <c r="FL42" s="818">
        <f>SUM(FL3:FL41)</f>
        <v>1221242.423</v>
      </c>
      <c r="FM42" s="818">
        <f>SUM(FM3:FM41)</f>
        <v>1108352.6440000003</v>
      </c>
    </row>
    <row r="43" spans="1:169">
      <c r="AT43" s="823"/>
      <c r="AU43" s="823"/>
      <c r="AV43" s="823"/>
      <c r="AW43" s="823"/>
      <c r="AX43" s="823"/>
      <c r="AY43" s="823"/>
      <c r="AZ43" s="823"/>
      <c r="BA43" s="823"/>
      <c r="BB43" s="823">
        <f>B42+D42+F42+H42+J42+L42+N42+P42+R42+T42+V42+X42+Z42+AB42+AD42+AF42+AH42+AJ42+AL42+AP42+AR42+AT42+BB42</f>
        <v>960944.15199999977</v>
      </c>
      <c r="BC43" s="823">
        <f>C42+E42+G42+I42+K42+M42+O42+Q42+S42+U42+W42+Y42+AA42+AC42+AE42+AG42+AI42+AK42+AM42+AQ42+AS42+AU42+BC42</f>
        <v>851697.13300000003</v>
      </c>
      <c r="BD43" s="823">
        <f>D42+F42+H42+J42+L42+N42+P42+R42+T42+V42+X42+Z42+AB42+AD42+AF42+AH42+AJ42+AL42+AP42+AR42+AT42+BB42+BD42</f>
        <v>957025.79099999974</v>
      </c>
      <c r="BE43" s="823">
        <f>E42+G42+I42+K42+M42+O42+Q42+S42+U42+W42+Y42+AA42+AC42+AE42+AG42+AI42+AK42+AM42+AQ42+AS42+AU42+BC42+BE42</f>
        <v>847886.44000000006</v>
      </c>
      <c r="BG43" s="824"/>
      <c r="BH43" s="824"/>
      <c r="BI43" s="824"/>
      <c r="BJ43" s="824">
        <f>BF42+BH42+BJ42</f>
        <v>68356.5</v>
      </c>
      <c r="BK43" s="824">
        <f>BG42+BI42+BK42</f>
        <v>68355.5</v>
      </c>
      <c r="BL43" s="824"/>
      <c r="BM43" s="824"/>
      <c r="BN43" s="824"/>
      <c r="BO43" s="824"/>
      <c r="BP43" s="824"/>
      <c r="BQ43" s="824"/>
      <c r="BR43" s="824"/>
      <c r="BS43" s="824"/>
      <c r="BT43" s="824"/>
      <c r="BU43" s="824"/>
      <c r="BV43" s="824"/>
      <c r="BW43" s="824"/>
      <c r="BX43" s="824"/>
      <c r="BY43" s="824"/>
      <c r="BZ43" s="824"/>
      <c r="CA43" s="824"/>
      <c r="CB43" s="824"/>
      <c r="CC43" s="824"/>
      <c r="CD43" s="824">
        <f>BL42+BN42+BP42+BR42+BT42+BX42+BV42+BZ42+CD42</f>
        <v>156579.644</v>
      </c>
      <c r="CE43" s="824">
        <f>BM42+BO42+BQ42+BS42+BU42+BW42+BY42+CA42+CE42</f>
        <v>153931.617</v>
      </c>
      <c r="CF43" s="824">
        <f>BN42+BP42+BR42+BT42+BV42+BZ42+BX42+CD42+CF42</f>
        <v>109451.82500000001</v>
      </c>
      <c r="CG43" s="824">
        <f>BO42+BQ42+BS42+BU42+BW42+BY42+CA42+CE42+CG42</f>
        <v>108564.40400000001</v>
      </c>
      <c r="CH43" s="824">
        <f>BP42+BR42+BT42+BV42+BX42+CB42+BZ42+CF42+CH42</f>
        <v>46689.024000000005</v>
      </c>
      <c r="CI43" s="824">
        <f>BQ42+BS42+BU42+BW42+BY42+CA42+CC42+CG42+CI42</f>
        <v>45699.384000000005</v>
      </c>
      <c r="CJ43" s="824">
        <f>CJ42</f>
        <v>424</v>
      </c>
      <c r="CK43" s="824">
        <f>CK42</f>
        <v>424</v>
      </c>
      <c r="CL43" s="825"/>
      <c r="CM43" s="825"/>
      <c r="CN43" s="825"/>
      <c r="CO43" s="825"/>
      <c r="CP43" s="825"/>
      <c r="CQ43" s="825"/>
      <c r="CR43" s="824">
        <f>CL42+CN42+CP42+CR42</f>
        <v>4246.9960000000001</v>
      </c>
      <c r="CS43" s="824">
        <f>CM42+CO42+CQ42+CS42</f>
        <v>4237.43</v>
      </c>
      <c r="CX43" s="824">
        <f>CT42+CV42+CX42</f>
        <v>0</v>
      </c>
      <c r="CY43" s="824">
        <f>CU42+CW42+CY42</f>
        <v>0</v>
      </c>
      <c r="DN43" s="824">
        <f>CZ42+DB42+DD42+DF42+DH42+DJ42+DL42+DN42</f>
        <v>0</v>
      </c>
      <c r="DO43" s="824">
        <f>DA42+DC42+DE42+DG42+DI42+DK42+DM42+DO42</f>
        <v>0</v>
      </c>
      <c r="DT43" s="824">
        <f>DP42+DR42+DT42</f>
        <v>0</v>
      </c>
      <c r="DU43" s="824">
        <f>DQ42+DS42+DU42</f>
        <v>0</v>
      </c>
      <c r="FJ43" s="826">
        <f>DP42+DR42+DT42+DV42+DX42+DZ42+EB42+ED42+EJ42+EL42+EN42+EP42+ER42+ET42+EV42+EX42+EZ42+FB42+FD42+FF42+FH42+FJ42</f>
        <v>0</v>
      </c>
      <c r="FK43" s="826">
        <f>DQ42+DS42+DU42+DW42+DY42+EA42+EC42+EE42+EK42+EM42+EO42+EQ42+ES42+EU42+EW42+EY42+FA42+FC42+FE42+FG42+FI42+FK42</f>
        <v>0</v>
      </c>
    </row>
    <row r="44" spans="1:169">
      <c r="FJ44" s="827">
        <f>DV42+DX42+DZ42+EB42+ED42+EJ42+EL42+EN42+EP42+ER42+ET42+EV42+EX42+EZ42+FB42+FD42+FF42+FH42+FJ42</f>
        <v>0</v>
      </c>
      <c r="FK44" s="827">
        <f>DW42+DY42+EA42+EC42+EE42+EK42+EM42+EO42+EQ42+ES42+EU42+EW42+EY42+FA42+FC42+FE42+FG42+FI42+FK42</f>
        <v>0</v>
      </c>
    </row>
  </sheetData>
  <mergeCells count="84">
    <mergeCell ref="X2:Y2"/>
    <mergeCell ref="B2:C2"/>
    <mergeCell ref="D2:E2"/>
    <mergeCell ref="F2:G2"/>
    <mergeCell ref="H2:I2"/>
    <mergeCell ref="J2:K2"/>
    <mergeCell ref="L2:M2"/>
    <mergeCell ref="N2:O2"/>
    <mergeCell ref="P2:Q2"/>
    <mergeCell ref="R2:S2"/>
    <mergeCell ref="T2:U2"/>
    <mergeCell ref="V2:W2"/>
    <mergeCell ref="AV2:AW2"/>
    <mergeCell ref="Z2:AA2"/>
    <mergeCell ref="AB2:AC2"/>
    <mergeCell ref="AD2:AE2"/>
    <mergeCell ref="AF2:AG2"/>
    <mergeCell ref="AH2:AI2"/>
    <mergeCell ref="AJ2:AK2"/>
    <mergeCell ref="AL2:AM2"/>
    <mergeCell ref="AN2:AO2"/>
    <mergeCell ref="AP2:AQ2"/>
    <mergeCell ref="AR2:AS2"/>
    <mergeCell ref="AT2:AU2"/>
    <mergeCell ref="BT2:BU2"/>
    <mergeCell ref="AX2:AY2"/>
    <mergeCell ref="AZ2:BA2"/>
    <mergeCell ref="BB2:BC2"/>
    <mergeCell ref="BD2:BE2"/>
    <mergeCell ref="BF2:BG2"/>
    <mergeCell ref="BH2:BI2"/>
    <mergeCell ref="BJ2:BK2"/>
    <mergeCell ref="BL2:BM2"/>
    <mergeCell ref="BN2:BO2"/>
    <mergeCell ref="BP2:BQ2"/>
    <mergeCell ref="BR2:BS2"/>
    <mergeCell ref="DF2:DG2"/>
    <mergeCell ref="CT2:CU2"/>
    <mergeCell ref="BV2:BW2"/>
    <mergeCell ref="BX2:BY2"/>
    <mergeCell ref="BZ2:CA2"/>
    <mergeCell ref="CB2:CC2"/>
    <mergeCell ref="CD2:CE2"/>
    <mergeCell ref="CF2:CG2"/>
    <mergeCell ref="CJ2:CK2"/>
    <mergeCell ref="CL2:CM2"/>
    <mergeCell ref="CN2:CO2"/>
    <mergeCell ref="CP2:CQ2"/>
    <mergeCell ref="CR2:CS2"/>
    <mergeCell ref="CH2:CI2"/>
    <mergeCell ref="CV2:CW2"/>
    <mergeCell ref="CX2:CY2"/>
    <mergeCell ref="CZ2:DA2"/>
    <mergeCell ref="DB2:DC2"/>
    <mergeCell ref="DD2:DE2"/>
    <mergeCell ref="EZ2:FA2"/>
    <mergeCell ref="FB2:FC2"/>
    <mergeCell ref="EF2:EG2"/>
    <mergeCell ref="EH2:EI2"/>
    <mergeCell ref="EJ2:EK2"/>
    <mergeCell ref="EL2:EM2"/>
    <mergeCell ref="EN2:EO2"/>
    <mergeCell ref="EP2:EQ2"/>
    <mergeCell ref="ER2:ES2"/>
    <mergeCell ref="ET2:EU2"/>
    <mergeCell ref="EV2:EW2"/>
    <mergeCell ref="EX2:EY2"/>
    <mergeCell ref="ED2:EE2"/>
    <mergeCell ref="DH2:DI2"/>
    <mergeCell ref="DJ2:DK2"/>
    <mergeCell ref="DL2:DM2"/>
    <mergeCell ref="DN2:DO2"/>
    <mergeCell ref="DP2:DQ2"/>
    <mergeCell ref="FL2:FM2"/>
    <mergeCell ref="DR2:DS2"/>
    <mergeCell ref="FD2:FE2"/>
    <mergeCell ref="FF2:FG2"/>
    <mergeCell ref="FH2:FI2"/>
    <mergeCell ref="FJ2:FK2"/>
    <mergeCell ref="DT2:DU2"/>
    <mergeCell ref="DV2:DW2"/>
    <mergeCell ref="DX2:DY2"/>
    <mergeCell ref="DZ2:EA2"/>
    <mergeCell ref="EB2:EC2"/>
  </mergeCells>
  <pageMargins left="0.31496062992125984" right="0" top="1.1417322834645669" bottom="0.19685039370078741" header="0.31496062992125984" footer="0.31496062992125984"/>
  <pageSetup paperSize="9" scale="75" orientation="landscape" r:id="rId1"/>
</worksheet>
</file>

<file path=xl/worksheets/sheet3.xml><?xml version="1.0" encoding="utf-8"?>
<worksheet xmlns="http://schemas.openxmlformats.org/spreadsheetml/2006/main" xmlns:r="http://schemas.openxmlformats.org/officeDocument/2006/relationships">
  <dimension ref="A2:EX46"/>
  <sheetViews>
    <sheetView zoomScaleNormal="100" zoomScaleSheetLayoutView="70" workbookViewId="0">
      <pane xSplit="1" ySplit="3" topLeftCell="BM4" activePane="bottomRight" state="frozen"/>
      <selection pane="topRight" activeCell="B1" sqref="B1"/>
      <selection pane="bottomLeft" activeCell="A4" sqref="A4"/>
      <selection pane="bottomRight" activeCell="CZ1" sqref="CZ1:DE1048576"/>
    </sheetView>
  </sheetViews>
  <sheetFormatPr defaultRowHeight="12.75"/>
  <cols>
    <col min="1" max="1" width="6" style="821" customWidth="1"/>
    <col min="2" max="4" width="8.28515625" style="822" bestFit="1" customWidth="1"/>
    <col min="5" max="7" width="9.28515625" style="822" bestFit="1" customWidth="1"/>
    <col min="8" max="10" width="8.28515625" style="822" bestFit="1" customWidth="1"/>
    <col min="11" max="11" width="9.28515625" style="822" bestFit="1" customWidth="1"/>
    <col min="12" max="14" width="8.28515625" style="822" bestFit="1" customWidth="1"/>
    <col min="15" max="16" width="5.42578125" style="822" bestFit="1" customWidth="1"/>
    <col min="17" max="17" width="8.28515625" style="822" bestFit="1" customWidth="1"/>
    <col min="18" max="19" width="5.85546875" style="822" bestFit="1" customWidth="1"/>
    <col min="20" max="22" width="10.28515625" style="822" bestFit="1" customWidth="1"/>
    <col min="23" max="25" width="9.28515625" style="822" bestFit="1" customWidth="1"/>
    <col min="26" max="29" width="11.7109375" style="822" customWidth="1"/>
    <col min="30" max="34" width="10.28515625" style="822" customWidth="1"/>
    <col min="35" max="41" width="9.5703125" style="822" customWidth="1"/>
    <col min="42" max="43" width="5.42578125" style="822" bestFit="1" customWidth="1"/>
    <col min="44" max="46" width="8.28515625" style="822" bestFit="1" customWidth="1"/>
    <col min="47" max="47" width="9.28515625" style="822" bestFit="1" customWidth="1"/>
    <col min="48" max="50" width="8.28515625" style="822" bestFit="1" customWidth="1"/>
    <col min="51" max="52" width="5.42578125" style="822" bestFit="1" customWidth="1"/>
    <col min="53" max="53" width="8.28515625" style="822" bestFit="1" customWidth="1"/>
    <col min="54" max="55" width="6.85546875" style="822" bestFit="1" customWidth="1"/>
    <col min="56" max="56" width="8.28515625" style="822" bestFit="1" customWidth="1"/>
    <col min="57" max="58" width="6.85546875" style="822" bestFit="1" customWidth="1"/>
    <col min="59" max="64" width="8.28515625" style="822" bestFit="1" customWidth="1"/>
    <col min="65" max="67" width="9.28515625" style="822" bestFit="1" customWidth="1"/>
    <col min="68" max="68" width="6.85546875" style="822" bestFit="1" customWidth="1"/>
    <col min="69" max="73" width="5.42578125" style="822" bestFit="1" customWidth="1"/>
    <col min="74" max="74" width="8.28515625" style="822" bestFit="1" customWidth="1"/>
    <col min="75" max="76" width="6.85546875" style="822" bestFit="1" customWidth="1"/>
    <col min="77" max="77" width="9.28515625" style="822" bestFit="1" customWidth="1"/>
    <col min="78" max="79" width="8.28515625" style="822" bestFit="1" customWidth="1"/>
    <col min="80" max="80" width="6.85546875" style="822" bestFit="1" customWidth="1"/>
    <col min="81" max="82" width="5.42578125" style="822" bestFit="1" customWidth="1"/>
    <col min="83" max="88" width="5.42578125" style="822" hidden="1" customWidth="1"/>
    <col min="89" max="89" width="9.28515625" style="819" bestFit="1" customWidth="1"/>
    <col min="90" max="91" width="5.42578125" style="819" bestFit="1" customWidth="1"/>
    <col min="92" max="92" width="9.28515625" style="819" bestFit="1" customWidth="1"/>
    <col min="93" max="94" width="5.42578125" style="819" bestFit="1" customWidth="1"/>
    <col min="95" max="95" width="7.7109375" style="819" bestFit="1" customWidth="1"/>
    <col min="96" max="97" width="8.7109375" style="819" customWidth="1"/>
    <col min="98" max="103" width="11.140625" style="819" customWidth="1"/>
    <col min="104" max="109" width="11.140625" style="819" hidden="1" customWidth="1"/>
    <col min="110" max="110" width="11.140625" style="819" customWidth="1"/>
    <col min="111" max="111" width="10.5703125" style="819" customWidth="1"/>
    <col min="112" max="112" width="9.28515625" style="819" bestFit="1" customWidth="1"/>
    <col min="113" max="113" width="5.85546875" style="819" bestFit="1" customWidth="1"/>
    <col min="114" max="115" width="5.42578125" style="819" bestFit="1" customWidth="1"/>
    <col min="116" max="118" width="6.85546875" style="819" bestFit="1" customWidth="1"/>
    <col min="119" max="119" width="5.85546875" style="819" bestFit="1" customWidth="1"/>
    <col min="120" max="121" width="5.42578125" style="819" bestFit="1" customWidth="1"/>
    <col min="122" max="124" width="8.28515625" style="819" bestFit="1" customWidth="1"/>
    <col min="125" max="127" width="9.28515625" style="819" bestFit="1" customWidth="1"/>
    <col min="128" max="128" width="6.85546875" style="819" bestFit="1" customWidth="1"/>
    <col min="129" max="130" width="5.42578125" style="819" bestFit="1" customWidth="1"/>
    <col min="131" max="131" width="6.85546875" style="819" bestFit="1" customWidth="1"/>
    <col min="132" max="133" width="5.42578125" style="819" bestFit="1" customWidth="1"/>
    <col min="134" max="134" width="8.7109375" style="819" bestFit="1" customWidth="1"/>
    <col min="135" max="139" width="6.85546875" style="819" bestFit="1" customWidth="1"/>
    <col min="140" max="142" width="8.28515625" style="819" bestFit="1" customWidth="1"/>
    <col min="143" max="145" width="5.42578125" style="819" bestFit="1" customWidth="1"/>
    <col min="146" max="146" width="7" style="819" bestFit="1" customWidth="1"/>
    <col min="147" max="148" width="6.85546875" style="819" bestFit="1" customWidth="1"/>
    <col min="149" max="149" width="5.42578125" style="819" bestFit="1" customWidth="1"/>
    <col min="150" max="151" width="9.28515625" style="819" bestFit="1" customWidth="1"/>
    <col min="152" max="152" width="12.85546875" style="819" bestFit="1" customWidth="1"/>
    <col min="153" max="154" width="11.42578125" style="819" bestFit="1" customWidth="1"/>
    <col min="155" max="16384" width="9.140625" style="819"/>
  </cols>
  <sheetData>
    <row r="2" spans="1:154" s="815" customFormat="1">
      <c r="A2" s="833"/>
      <c r="B2" s="1400" t="s">
        <v>1269</v>
      </c>
      <c r="C2" s="1402"/>
      <c r="D2" s="1401"/>
      <c r="E2" s="1400" t="s">
        <v>1270</v>
      </c>
      <c r="F2" s="1402"/>
      <c r="G2" s="1401"/>
      <c r="H2" s="1400" t="s">
        <v>1271</v>
      </c>
      <c r="I2" s="1402"/>
      <c r="J2" s="1401"/>
      <c r="K2" s="1400" t="s">
        <v>426</v>
      </c>
      <c r="L2" s="1402"/>
      <c r="M2" s="1401"/>
      <c r="N2" s="1400" t="s">
        <v>1272</v>
      </c>
      <c r="O2" s="1402"/>
      <c r="P2" s="1401"/>
      <c r="Q2" s="1400" t="s">
        <v>1273</v>
      </c>
      <c r="R2" s="1402"/>
      <c r="S2" s="1401"/>
      <c r="T2" s="1400" t="s">
        <v>1274</v>
      </c>
      <c r="U2" s="1402"/>
      <c r="V2" s="1401"/>
      <c r="W2" s="1400" t="s">
        <v>326</v>
      </c>
      <c r="X2" s="1402"/>
      <c r="Y2" s="1401"/>
      <c r="Z2" s="1400" t="s">
        <v>413</v>
      </c>
      <c r="AA2" s="1402"/>
      <c r="AB2" s="1401"/>
      <c r="AC2" s="1400" t="s">
        <v>432</v>
      </c>
      <c r="AD2" s="1402"/>
      <c r="AE2" s="1401"/>
      <c r="AF2" s="1400" t="s">
        <v>416</v>
      </c>
      <c r="AG2" s="1402"/>
      <c r="AH2" s="1401"/>
      <c r="AI2" s="1400" t="s">
        <v>37</v>
      </c>
      <c r="AJ2" s="1402"/>
      <c r="AK2" s="1401"/>
      <c r="AL2" s="1400" t="s">
        <v>1275</v>
      </c>
      <c r="AM2" s="1402"/>
      <c r="AN2" s="1401"/>
      <c r="AO2" s="1400" t="s">
        <v>1381</v>
      </c>
      <c r="AP2" s="1402"/>
      <c r="AQ2" s="1401"/>
      <c r="AR2" s="1400" t="s">
        <v>1276</v>
      </c>
      <c r="AS2" s="1402"/>
      <c r="AT2" s="1401"/>
      <c r="AU2" s="1400" t="s">
        <v>1277</v>
      </c>
      <c r="AV2" s="1402"/>
      <c r="AW2" s="1401"/>
      <c r="AX2" s="1400" t="s">
        <v>1279</v>
      </c>
      <c r="AY2" s="1402"/>
      <c r="AZ2" s="1401"/>
      <c r="BA2" s="1400" t="s">
        <v>1280</v>
      </c>
      <c r="BB2" s="1402"/>
      <c r="BC2" s="1401"/>
      <c r="BD2" s="1400" t="s">
        <v>440</v>
      </c>
      <c r="BE2" s="1402"/>
      <c r="BF2" s="1401"/>
      <c r="BG2" s="1400" t="s">
        <v>442</v>
      </c>
      <c r="BH2" s="1402"/>
      <c r="BI2" s="1401"/>
      <c r="BJ2" s="1400" t="s">
        <v>444</v>
      </c>
      <c r="BK2" s="1402"/>
      <c r="BL2" s="1401"/>
      <c r="BM2" s="1400" t="s">
        <v>1281</v>
      </c>
      <c r="BN2" s="1402"/>
      <c r="BO2" s="1401"/>
      <c r="BP2" s="1400" t="s">
        <v>1282</v>
      </c>
      <c r="BQ2" s="1402"/>
      <c r="BR2" s="1401"/>
      <c r="BS2" s="1400" t="s">
        <v>1283</v>
      </c>
      <c r="BT2" s="1402"/>
      <c r="BU2" s="1401"/>
      <c r="BV2" s="1400" t="s">
        <v>1284</v>
      </c>
      <c r="BW2" s="1402"/>
      <c r="BX2" s="1401"/>
      <c r="BY2" s="1400" t="s">
        <v>1285</v>
      </c>
      <c r="BZ2" s="1402"/>
      <c r="CA2" s="1401"/>
      <c r="CB2" s="1400" t="s">
        <v>678</v>
      </c>
      <c r="CC2" s="1402"/>
      <c r="CD2" s="1401"/>
      <c r="CE2" s="1400" t="s">
        <v>1382</v>
      </c>
      <c r="CF2" s="1402"/>
      <c r="CG2" s="1401"/>
      <c r="CH2" s="1400" t="s">
        <v>1383</v>
      </c>
      <c r="CI2" s="1402"/>
      <c r="CJ2" s="1401"/>
      <c r="CK2" s="1400" t="s">
        <v>1287</v>
      </c>
      <c r="CL2" s="1402"/>
      <c r="CM2" s="1401"/>
      <c r="CN2" s="1400" t="s">
        <v>1288</v>
      </c>
      <c r="CO2" s="1402"/>
      <c r="CP2" s="1401"/>
      <c r="CQ2" s="1400" t="s">
        <v>1289</v>
      </c>
      <c r="CR2" s="1402"/>
      <c r="CS2" s="1401"/>
      <c r="CT2" s="1400" t="s">
        <v>1290</v>
      </c>
      <c r="CU2" s="1402"/>
      <c r="CV2" s="1401"/>
      <c r="CW2" s="1400" t="s">
        <v>1291</v>
      </c>
      <c r="CX2" s="1402"/>
      <c r="CY2" s="1401"/>
      <c r="CZ2" s="1400" t="s">
        <v>1292</v>
      </c>
      <c r="DA2" s="1402"/>
      <c r="DB2" s="1401"/>
      <c r="DC2" s="1400" t="s">
        <v>1293</v>
      </c>
      <c r="DD2" s="1402"/>
      <c r="DE2" s="1401"/>
      <c r="DF2" s="1400" t="s">
        <v>1294</v>
      </c>
      <c r="DG2" s="1402"/>
      <c r="DH2" s="1401"/>
      <c r="DI2" s="1400" t="s">
        <v>1295</v>
      </c>
      <c r="DJ2" s="1402"/>
      <c r="DK2" s="1401"/>
      <c r="DL2" s="1400" t="s">
        <v>1296</v>
      </c>
      <c r="DM2" s="1402"/>
      <c r="DN2" s="1401"/>
      <c r="DO2" s="1400" t="s">
        <v>829</v>
      </c>
      <c r="DP2" s="1402"/>
      <c r="DQ2" s="1401"/>
      <c r="DR2" s="1400" t="s">
        <v>1297</v>
      </c>
      <c r="DS2" s="1402"/>
      <c r="DT2" s="1401"/>
      <c r="DU2" s="1400" t="s">
        <v>1298</v>
      </c>
      <c r="DV2" s="1402"/>
      <c r="DW2" s="1401"/>
      <c r="DX2" s="1400" t="s">
        <v>1372</v>
      </c>
      <c r="DY2" s="1402"/>
      <c r="DZ2" s="1401"/>
      <c r="EA2" s="1400" t="s">
        <v>1299</v>
      </c>
      <c r="EB2" s="1402"/>
      <c r="EC2" s="1401"/>
      <c r="ED2" s="1400" t="s">
        <v>1300</v>
      </c>
      <c r="EE2" s="1402"/>
      <c r="EF2" s="1401"/>
      <c r="EG2" s="1400" t="s">
        <v>1301</v>
      </c>
      <c r="EH2" s="1402"/>
      <c r="EI2" s="1401"/>
      <c r="EJ2" s="1400" t="s">
        <v>1302</v>
      </c>
      <c r="EK2" s="1402"/>
      <c r="EL2" s="1401"/>
      <c r="EM2" s="1400" t="s">
        <v>1303</v>
      </c>
      <c r="EN2" s="1402"/>
      <c r="EO2" s="1401"/>
      <c r="EP2" s="1400" t="s">
        <v>1305</v>
      </c>
      <c r="EQ2" s="1402"/>
      <c r="ER2" s="1401"/>
      <c r="ES2" s="1400" t="s">
        <v>686</v>
      </c>
      <c r="ET2" s="1402"/>
      <c r="EU2" s="1401"/>
      <c r="EV2" s="1400" t="s">
        <v>1333</v>
      </c>
      <c r="EW2" s="1402"/>
      <c r="EX2" s="1401"/>
    </row>
    <row r="3" spans="1:154" s="815" customFormat="1">
      <c r="A3" s="833"/>
      <c r="B3" s="993" t="s">
        <v>1384</v>
      </c>
      <c r="C3" s="993" t="s">
        <v>1385</v>
      </c>
      <c r="D3" s="994" t="s">
        <v>1386</v>
      </c>
      <c r="E3" s="993" t="s">
        <v>1384</v>
      </c>
      <c r="F3" s="993" t="s">
        <v>1385</v>
      </c>
      <c r="G3" s="994" t="s">
        <v>1386</v>
      </c>
      <c r="H3" s="993" t="s">
        <v>1384</v>
      </c>
      <c r="I3" s="993" t="s">
        <v>1385</v>
      </c>
      <c r="J3" s="994" t="s">
        <v>1386</v>
      </c>
      <c r="K3" s="993" t="s">
        <v>1384</v>
      </c>
      <c r="L3" s="993" t="s">
        <v>1385</v>
      </c>
      <c r="M3" s="994" t="s">
        <v>1386</v>
      </c>
      <c r="N3" s="993" t="s">
        <v>1384</v>
      </c>
      <c r="O3" s="993" t="s">
        <v>1385</v>
      </c>
      <c r="P3" s="994" t="s">
        <v>1386</v>
      </c>
      <c r="Q3" s="993" t="s">
        <v>1384</v>
      </c>
      <c r="R3" s="993" t="s">
        <v>1385</v>
      </c>
      <c r="S3" s="994" t="s">
        <v>1386</v>
      </c>
      <c r="T3" s="993" t="s">
        <v>1384</v>
      </c>
      <c r="U3" s="993" t="s">
        <v>1385</v>
      </c>
      <c r="V3" s="994" t="s">
        <v>1386</v>
      </c>
      <c r="W3" s="993" t="s">
        <v>1384</v>
      </c>
      <c r="X3" s="993" t="s">
        <v>1385</v>
      </c>
      <c r="Y3" s="994" t="s">
        <v>1386</v>
      </c>
      <c r="Z3" s="993" t="s">
        <v>1384</v>
      </c>
      <c r="AA3" s="993" t="s">
        <v>1385</v>
      </c>
      <c r="AB3" s="994" t="s">
        <v>1386</v>
      </c>
      <c r="AC3" s="993" t="s">
        <v>1384</v>
      </c>
      <c r="AD3" s="993" t="s">
        <v>1385</v>
      </c>
      <c r="AE3" s="994" t="s">
        <v>1386</v>
      </c>
      <c r="AF3" s="993" t="s">
        <v>1384</v>
      </c>
      <c r="AG3" s="993" t="s">
        <v>1385</v>
      </c>
      <c r="AH3" s="994" t="s">
        <v>1386</v>
      </c>
      <c r="AI3" s="993" t="s">
        <v>1384</v>
      </c>
      <c r="AJ3" s="993" t="s">
        <v>1385</v>
      </c>
      <c r="AK3" s="994" t="s">
        <v>1386</v>
      </c>
      <c r="AL3" s="993" t="s">
        <v>1384</v>
      </c>
      <c r="AM3" s="993" t="s">
        <v>1385</v>
      </c>
      <c r="AN3" s="994" t="s">
        <v>1386</v>
      </c>
      <c r="AO3" s="993" t="s">
        <v>1384</v>
      </c>
      <c r="AP3" s="993" t="s">
        <v>1385</v>
      </c>
      <c r="AQ3" s="994" t="s">
        <v>1386</v>
      </c>
      <c r="AR3" s="993" t="s">
        <v>1384</v>
      </c>
      <c r="AS3" s="993" t="s">
        <v>1385</v>
      </c>
      <c r="AT3" s="994" t="s">
        <v>1386</v>
      </c>
      <c r="AU3" s="993" t="s">
        <v>1384</v>
      </c>
      <c r="AV3" s="993" t="s">
        <v>1385</v>
      </c>
      <c r="AW3" s="994" t="s">
        <v>1386</v>
      </c>
      <c r="AX3" s="993" t="s">
        <v>1384</v>
      </c>
      <c r="AY3" s="993" t="s">
        <v>1385</v>
      </c>
      <c r="AZ3" s="994" t="s">
        <v>1386</v>
      </c>
      <c r="BA3" s="993" t="s">
        <v>1384</v>
      </c>
      <c r="BB3" s="993" t="s">
        <v>1385</v>
      </c>
      <c r="BC3" s="994" t="s">
        <v>1386</v>
      </c>
      <c r="BD3" s="993" t="s">
        <v>1384</v>
      </c>
      <c r="BE3" s="993" t="s">
        <v>1385</v>
      </c>
      <c r="BF3" s="994" t="s">
        <v>1386</v>
      </c>
      <c r="BG3" s="993" t="s">
        <v>1384</v>
      </c>
      <c r="BH3" s="993" t="s">
        <v>1385</v>
      </c>
      <c r="BI3" s="994" t="s">
        <v>1386</v>
      </c>
      <c r="BJ3" s="993" t="s">
        <v>1384</v>
      </c>
      <c r="BK3" s="993" t="s">
        <v>1385</v>
      </c>
      <c r="BL3" s="994" t="s">
        <v>1386</v>
      </c>
      <c r="BM3" s="993" t="s">
        <v>1384</v>
      </c>
      <c r="BN3" s="993" t="s">
        <v>1385</v>
      </c>
      <c r="BO3" s="994" t="s">
        <v>1386</v>
      </c>
      <c r="BP3" s="993" t="s">
        <v>1384</v>
      </c>
      <c r="BQ3" s="993" t="s">
        <v>1385</v>
      </c>
      <c r="BR3" s="994" t="s">
        <v>1386</v>
      </c>
      <c r="BS3" s="993" t="s">
        <v>1384</v>
      </c>
      <c r="BT3" s="993" t="s">
        <v>1385</v>
      </c>
      <c r="BU3" s="994" t="s">
        <v>1386</v>
      </c>
      <c r="BV3" s="993" t="s">
        <v>1384</v>
      </c>
      <c r="BW3" s="993" t="s">
        <v>1385</v>
      </c>
      <c r="BX3" s="994" t="s">
        <v>1386</v>
      </c>
      <c r="BY3" s="993" t="s">
        <v>1384</v>
      </c>
      <c r="BZ3" s="993" t="s">
        <v>1385</v>
      </c>
      <c r="CA3" s="994" t="s">
        <v>1386</v>
      </c>
      <c r="CB3" s="993" t="s">
        <v>1384</v>
      </c>
      <c r="CC3" s="993" t="s">
        <v>1385</v>
      </c>
      <c r="CD3" s="994" t="s">
        <v>1386</v>
      </c>
      <c r="CE3" s="993" t="s">
        <v>1384</v>
      </c>
      <c r="CF3" s="993" t="s">
        <v>1385</v>
      </c>
      <c r="CG3" s="994" t="s">
        <v>1386</v>
      </c>
      <c r="CH3" s="993" t="s">
        <v>1384</v>
      </c>
      <c r="CI3" s="993" t="s">
        <v>1385</v>
      </c>
      <c r="CJ3" s="994" t="s">
        <v>1386</v>
      </c>
      <c r="CK3" s="993" t="s">
        <v>1384</v>
      </c>
      <c r="CL3" s="993" t="s">
        <v>1385</v>
      </c>
      <c r="CM3" s="994" t="s">
        <v>1386</v>
      </c>
      <c r="CN3" s="993" t="s">
        <v>1384</v>
      </c>
      <c r="CO3" s="993" t="s">
        <v>1385</v>
      </c>
      <c r="CP3" s="994" t="s">
        <v>1386</v>
      </c>
      <c r="CQ3" s="993" t="s">
        <v>1384</v>
      </c>
      <c r="CR3" s="993" t="s">
        <v>1385</v>
      </c>
      <c r="CS3" s="994" t="s">
        <v>1386</v>
      </c>
      <c r="CT3" s="993" t="s">
        <v>1384</v>
      </c>
      <c r="CU3" s="993" t="s">
        <v>1385</v>
      </c>
      <c r="CV3" s="994" t="s">
        <v>1386</v>
      </c>
      <c r="CW3" s="993" t="s">
        <v>1384</v>
      </c>
      <c r="CX3" s="993" t="s">
        <v>1385</v>
      </c>
      <c r="CY3" s="994" t="s">
        <v>1386</v>
      </c>
      <c r="CZ3" s="993" t="s">
        <v>1384</v>
      </c>
      <c r="DA3" s="993" t="s">
        <v>1385</v>
      </c>
      <c r="DB3" s="994" t="s">
        <v>1386</v>
      </c>
      <c r="DC3" s="993" t="s">
        <v>1384</v>
      </c>
      <c r="DD3" s="993" t="s">
        <v>1385</v>
      </c>
      <c r="DE3" s="994" t="s">
        <v>1386</v>
      </c>
      <c r="DF3" s="993" t="s">
        <v>1384</v>
      </c>
      <c r="DG3" s="993" t="s">
        <v>1385</v>
      </c>
      <c r="DH3" s="994" t="s">
        <v>1386</v>
      </c>
      <c r="DI3" s="993" t="s">
        <v>1384</v>
      </c>
      <c r="DJ3" s="993" t="s">
        <v>1385</v>
      </c>
      <c r="DK3" s="994" t="s">
        <v>1386</v>
      </c>
      <c r="DL3" s="993" t="s">
        <v>1384</v>
      </c>
      <c r="DM3" s="993" t="s">
        <v>1385</v>
      </c>
      <c r="DN3" s="994" t="s">
        <v>1386</v>
      </c>
      <c r="DO3" s="993" t="s">
        <v>1384</v>
      </c>
      <c r="DP3" s="993" t="s">
        <v>1385</v>
      </c>
      <c r="DQ3" s="994" t="s">
        <v>1386</v>
      </c>
      <c r="DR3" s="993" t="s">
        <v>1384</v>
      </c>
      <c r="DS3" s="993" t="s">
        <v>1385</v>
      </c>
      <c r="DT3" s="994" t="s">
        <v>1386</v>
      </c>
      <c r="DU3" s="993" t="s">
        <v>1384</v>
      </c>
      <c r="DV3" s="993" t="s">
        <v>1385</v>
      </c>
      <c r="DW3" s="994" t="s">
        <v>1386</v>
      </c>
      <c r="DX3" s="993" t="s">
        <v>1384</v>
      </c>
      <c r="DY3" s="993" t="s">
        <v>1385</v>
      </c>
      <c r="DZ3" s="994" t="s">
        <v>1386</v>
      </c>
      <c r="EA3" s="993" t="s">
        <v>1384</v>
      </c>
      <c r="EB3" s="993" t="s">
        <v>1385</v>
      </c>
      <c r="EC3" s="994" t="s">
        <v>1386</v>
      </c>
      <c r="ED3" s="993" t="s">
        <v>1384</v>
      </c>
      <c r="EE3" s="993" t="s">
        <v>1385</v>
      </c>
      <c r="EF3" s="994" t="s">
        <v>1386</v>
      </c>
      <c r="EG3" s="993" t="s">
        <v>1384</v>
      </c>
      <c r="EH3" s="993" t="s">
        <v>1385</v>
      </c>
      <c r="EI3" s="994" t="s">
        <v>1386</v>
      </c>
      <c r="EJ3" s="993" t="s">
        <v>1384</v>
      </c>
      <c r="EK3" s="993" t="s">
        <v>1385</v>
      </c>
      <c r="EL3" s="994" t="s">
        <v>1386</v>
      </c>
      <c r="EM3" s="993" t="s">
        <v>1384</v>
      </c>
      <c r="EN3" s="993" t="s">
        <v>1385</v>
      </c>
      <c r="EO3" s="994" t="s">
        <v>1386</v>
      </c>
      <c r="EP3" s="993" t="s">
        <v>1384</v>
      </c>
      <c r="EQ3" s="993" t="s">
        <v>1385</v>
      </c>
      <c r="ER3" s="994" t="s">
        <v>1386</v>
      </c>
      <c r="ES3" s="993" t="s">
        <v>1384</v>
      </c>
      <c r="ET3" s="993" t="s">
        <v>1385</v>
      </c>
      <c r="EU3" s="994" t="s">
        <v>1386</v>
      </c>
      <c r="EV3" s="993" t="s">
        <v>1384</v>
      </c>
      <c r="EW3" s="993" t="s">
        <v>1385</v>
      </c>
      <c r="EX3" s="994" t="s">
        <v>1386</v>
      </c>
    </row>
    <row r="4" spans="1:154">
      <c r="A4" s="816" t="s">
        <v>1334</v>
      </c>
      <c r="B4" s="817"/>
      <c r="C4" s="817"/>
      <c r="D4" s="817"/>
      <c r="E4" s="817"/>
      <c r="F4" s="817"/>
      <c r="G4" s="817"/>
      <c r="H4" s="817"/>
      <c r="I4" s="817"/>
      <c r="J4" s="817"/>
      <c r="K4" s="817"/>
      <c r="L4" s="817"/>
      <c r="M4" s="817"/>
      <c r="N4" s="817"/>
      <c r="O4" s="817"/>
      <c r="P4" s="817"/>
      <c r="Q4" s="817"/>
      <c r="R4" s="817"/>
      <c r="S4" s="817"/>
      <c r="T4" s="817"/>
      <c r="U4" s="817"/>
      <c r="V4" s="817"/>
      <c r="W4" s="817"/>
      <c r="X4" s="817"/>
      <c r="Y4" s="817"/>
      <c r="Z4" s="817"/>
      <c r="AA4" s="817"/>
      <c r="AB4" s="817"/>
      <c r="AC4" s="817"/>
      <c r="AD4" s="817"/>
      <c r="AE4" s="817"/>
      <c r="AF4" s="817"/>
      <c r="AG4" s="817"/>
      <c r="AH4" s="817"/>
      <c r="AI4" s="817"/>
      <c r="AJ4" s="817"/>
      <c r="AK4" s="817"/>
      <c r="AL4" s="817"/>
      <c r="AM4" s="817"/>
      <c r="AN4" s="817"/>
      <c r="AO4" s="817"/>
      <c r="AP4" s="817"/>
      <c r="AQ4" s="817"/>
      <c r="AR4" s="817"/>
      <c r="AS4" s="817"/>
      <c r="AT4" s="817"/>
      <c r="AU4" s="817"/>
      <c r="AV4" s="817"/>
      <c r="AW4" s="817"/>
      <c r="AX4" s="817"/>
      <c r="AY4" s="817"/>
      <c r="AZ4" s="817"/>
      <c r="BA4" s="817"/>
      <c r="BB4" s="817"/>
      <c r="BC4" s="817"/>
      <c r="BD4" s="817"/>
      <c r="BE4" s="817"/>
      <c r="BF4" s="817"/>
      <c r="BG4" s="817"/>
      <c r="BH4" s="817"/>
      <c r="BI4" s="817"/>
      <c r="BJ4" s="817"/>
      <c r="BK4" s="817"/>
      <c r="BL4" s="817"/>
      <c r="BM4" s="817"/>
      <c r="BN4" s="817"/>
      <c r="BO4" s="817"/>
      <c r="BP4" s="817"/>
      <c r="BQ4" s="817"/>
      <c r="BR4" s="817"/>
      <c r="BS4" s="817"/>
      <c r="BT4" s="817"/>
      <c r="BU4" s="817"/>
      <c r="BV4" s="817"/>
      <c r="BW4" s="817"/>
      <c r="BX4" s="817"/>
      <c r="BY4" s="817"/>
      <c r="BZ4" s="817"/>
      <c r="CA4" s="817"/>
      <c r="CB4" s="817"/>
      <c r="CC4" s="817"/>
      <c r="CD4" s="817"/>
      <c r="CE4" s="817"/>
      <c r="CF4" s="817"/>
      <c r="CG4" s="817"/>
      <c r="CH4" s="817"/>
      <c r="CI4" s="817"/>
      <c r="CJ4" s="817"/>
      <c r="CK4" s="817"/>
      <c r="CL4" s="817"/>
      <c r="CM4" s="817"/>
      <c r="CN4" s="817"/>
      <c r="CO4" s="817"/>
      <c r="CP4" s="817"/>
      <c r="CQ4" s="817"/>
      <c r="CR4" s="817"/>
      <c r="CS4" s="817"/>
      <c r="CT4" s="817">
        <v>549.15</v>
      </c>
      <c r="CU4" s="817">
        <v>549.15</v>
      </c>
      <c r="CV4" s="817">
        <v>549.15</v>
      </c>
      <c r="CW4" s="817">
        <v>1818.45</v>
      </c>
      <c r="CX4" s="817">
        <v>1818.45</v>
      </c>
      <c r="CY4" s="817">
        <v>1818.45</v>
      </c>
      <c r="CZ4" s="817"/>
      <c r="DA4" s="817"/>
      <c r="DB4" s="817"/>
      <c r="DC4" s="817"/>
      <c r="DD4" s="817"/>
      <c r="DE4" s="817"/>
      <c r="DF4" s="817"/>
      <c r="DG4" s="817"/>
      <c r="DH4" s="817"/>
      <c r="DI4" s="817"/>
      <c r="DJ4" s="817"/>
      <c r="DK4" s="817"/>
      <c r="DL4" s="817"/>
      <c r="DM4" s="817"/>
      <c r="DN4" s="817"/>
      <c r="DO4" s="817"/>
      <c r="DP4" s="817"/>
      <c r="DQ4" s="817"/>
      <c r="DR4" s="817"/>
      <c r="DS4" s="817"/>
      <c r="DT4" s="817"/>
      <c r="DU4" s="817"/>
      <c r="DV4" s="817"/>
      <c r="DW4" s="817"/>
      <c r="DX4" s="817"/>
      <c r="DY4" s="817"/>
      <c r="DZ4" s="817"/>
      <c r="EA4" s="817"/>
      <c r="EB4" s="817"/>
      <c r="EC4" s="817"/>
      <c r="ED4" s="817"/>
      <c r="EE4" s="817"/>
      <c r="EF4" s="817"/>
      <c r="EG4" s="817"/>
      <c r="EH4" s="817"/>
      <c r="EI4" s="817"/>
      <c r="EJ4" s="817"/>
      <c r="EK4" s="817"/>
      <c r="EL4" s="817"/>
      <c r="EM4" s="817"/>
      <c r="EN4" s="817"/>
      <c r="EO4" s="817"/>
      <c r="EP4" s="817"/>
      <c r="EQ4" s="817"/>
      <c r="ER4" s="817"/>
      <c r="ES4" s="817"/>
      <c r="ET4" s="817"/>
      <c r="EU4" s="817"/>
      <c r="EV4" s="818">
        <f>B4+E4+H4+K4+N4+Q4+T4+W4+Z4+AC4+AF4+AI4+AL4+AO4+AR4+AU4+AX4+BA4+BD4+BG4+BJ4+BM4+BP4+BS4+BV4+BY4+CB4+CE4+CH4+CK4+CN4+CQ4+CT4+CW4+CZ4+DC4+DF4+DI4+DL4+DO4+DR4+DU4+DX4+EA4+ED4+EG4+EJ4+EM4+EP4+ES4</f>
        <v>2367.6</v>
      </c>
      <c r="EW4" s="818">
        <f t="shared" ref="EW4:EX19" si="0">C4+F4+I4+L4+O4+R4+U4+X4+AA4+AD4+AG4+AJ4+AM4+AP4+AS4+AV4+AY4+BB4+BE4+BH4+BK4+BN4+BQ4+BT4+BW4+BZ4+CC4+CF4+CI4+CL4+CO4+CR4+CU4+CX4+DA4+DD4+DG4+DJ4+DM4+DP4+DS4+DV4+DY4+EB4+EE4+EH4+EK4+EN4+EQ4+ET4</f>
        <v>2367.6</v>
      </c>
      <c r="EX4" s="818">
        <f t="shared" si="0"/>
        <v>2367.6</v>
      </c>
    </row>
    <row r="5" spans="1:154">
      <c r="A5" s="816" t="s">
        <v>1335</v>
      </c>
      <c r="B5" s="817"/>
      <c r="C5" s="817"/>
      <c r="D5" s="817"/>
      <c r="E5" s="817"/>
      <c r="F5" s="817"/>
      <c r="G5" s="817"/>
      <c r="H5" s="817"/>
      <c r="I5" s="817"/>
      <c r="J5" s="817"/>
      <c r="K5" s="817"/>
      <c r="L5" s="817"/>
      <c r="M5" s="817"/>
      <c r="N5" s="817"/>
      <c r="O5" s="817"/>
      <c r="P5" s="817"/>
      <c r="Q5" s="817"/>
      <c r="R5" s="817"/>
      <c r="S5" s="817"/>
      <c r="T5" s="817"/>
      <c r="U5" s="817"/>
      <c r="V5" s="817"/>
      <c r="W5" s="817"/>
      <c r="X5" s="817"/>
      <c r="Y5" s="817"/>
      <c r="Z5" s="817"/>
      <c r="AA5" s="817"/>
      <c r="AB5" s="817"/>
      <c r="AC5" s="817"/>
      <c r="AD5" s="817"/>
      <c r="AE5" s="817"/>
      <c r="AF5" s="817"/>
      <c r="AG5" s="817"/>
      <c r="AH5" s="817"/>
      <c r="AI5" s="817"/>
      <c r="AJ5" s="817"/>
      <c r="AK5" s="817"/>
      <c r="AL5" s="817"/>
      <c r="AM5" s="817"/>
      <c r="AN5" s="817"/>
      <c r="AO5" s="817"/>
      <c r="AP5" s="817"/>
      <c r="AQ5" s="817"/>
      <c r="AR5" s="817"/>
      <c r="AS5" s="817"/>
      <c r="AT5" s="817"/>
      <c r="AU5" s="817"/>
      <c r="AV5" s="817"/>
      <c r="AW5" s="817"/>
      <c r="AX5" s="817"/>
      <c r="AY5" s="817"/>
      <c r="AZ5" s="817"/>
      <c r="BA5" s="817"/>
      <c r="BB5" s="817"/>
      <c r="BC5" s="817"/>
      <c r="BD5" s="817"/>
      <c r="BE5" s="817"/>
      <c r="BF5" s="817"/>
      <c r="BG5" s="817"/>
      <c r="BH5" s="817"/>
      <c r="BI5" s="817"/>
      <c r="BJ5" s="817"/>
      <c r="BK5" s="817"/>
      <c r="BL5" s="817"/>
      <c r="BM5" s="817"/>
      <c r="BN5" s="817"/>
      <c r="BO5" s="817"/>
      <c r="BP5" s="817"/>
      <c r="BQ5" s="817"/>
      <c r="BR5" s="817"/>
      <c r="BS5" s="817"/>
      <c r="BT5" s="817"/>
      <c r="BU5" s="817"/>
      <c r="BV5" s="817"/>
      <c r="BW5" s="817"/>
      <c r="BX5" s="817"/>
      <c r="BY5" s="817"/>
      <c r="BZ5" s="817"/>
      <c r="CA5" s="817"/>
      <c r="CB5" s="817"/>
      <c r="CC5" s="817"/>
      <c r="CD5" s="817"/>
      <c r="CE5" s="817"/>
      <c r="CF5" s="817"/>
      <c r="CG5" s="817"/>
      <c r="CH5" s="817"/>
      <c r="CI5" s="817"/>
      <c r="CJ5" s="817"/>
      <c r="CK5" s="817"/>
      <c r="CL5" s="817"/>
      <c r="CM5" s="817"/>
      <c r="CN5" s="817"/>
      <c r="CO5" s="817"/>
      <c r="CP5" s="817"/>
      <c r="CQ5" s="817"/>
      <c r="CR5" s="817"/>
      <c r="CS5" s="817"/>
      <c r="CT5" s="817">
        <v>626.20000000000005</v>
      </c>
      <c r="CU5" s="817">
        <v>627.4</v>
      </c>
      <c r="CV5" s="817">
        <v>628.6</v>
      </c>
      <c r="CW5" s="817"/>
      <c r="CX5" s="817"/>
      <c r="CY5" s="817"/>
      <c r="CZ5" s="817"/>
      <c r="DA5" s="817"/>
      <c r="DB5" s="817"/>
      <c r="DC5" s="817"/>
      <c r="DD5" s="817"/>
      <c r="DE5" s="817"/>
      <c r="DF5" s="817"/>
      <c r="DG5" s="817"/>
      <c r="DH5" s="817"/>
      <c r="DI5" s="817"/>
      <c r="DJ5" s="817"/>
      <c r="DK5" s="817"/>
      <c r="DL5" s="817"/>
      <c r="DM5" s="817"/>
      <c r="DN5" s="817"/>
      <c r="DO5" s="817"/>
      <c r="DP5" s="817"/>
      <c r="DQ5" s="817"/>
      <c r="DR5" s="817"/>
      <c r="DS5" s="817"/>
      <c r="DT5" s="817"/>
      <c r="DU5" s="817"/>
      <c r="DV5" s="817"/>
      <c r="DW5" s="817"/>
      <c r="DX5" s="817"/>
      <c r="DY5" s="817"/>
      <c r="DZ5" s="817"/>
      <c r="EA5" s="817"/>
      <c r="EB5" s="817"/>
      <c r="EC5" s="817"/>
      <c r="ED5" s="817"/>
      <c r="EE5" s="817"/>
      <c r="EF5" s="817"/>
      <c r="EG5" s="817"/>
      <c r="EH5" s="817"/>
      <c r="EI5" s="817"/>
      <c r="EJ5" s="817"/>
      <c r="EK5" s="817"/>
      <c r="EL5" s="817"/>
      <c r="EM5" s="817"/>
      <c r="EN5" s="817"/>
      <c r="EO5" s="817"/>
      <c r="EP5" s="817"/>
      <c r="EQ5" s="817"/>
      <c r="ER5" s="817"/>
      <c r="ES5" s="817"/>
      <c r="ET5" s="817"/>
      <c r="EU5" s="817"/>
      <c r="EV5" s="818">
        <f t="shared" ref="EV5:EX43" si="1">B5+E5+H5+K5+N5+Q5+T5+W5+Z5+AC5+AF5+AI5+AL5+AO5+AR5+AU5+AX5+BA5+BD5+BG5+BJ5+BM5+BP5+BS5+BV5+BY5+CB5+CE5+CH5+CK5+CN5+CQ5+CT5+CW5+CZ5+DC5+DF5+DI5+DL5+DO5+DR5+DU5+DX5+EA5+ED5+EG5+EJ5+EM5+EP5+ES5</f>
        <v>626.20000000000005</v>
      </c>
      <c r="EW5" s="818">
        <f t="shared" si="0"/>
        <v>627.4</v>
      </c>
      <c r="EX5" s="818">
        <f t="shared" si="0"/>
        <v>628.6</v>
      </c>
    </row>
    <row r="6" spans="1:154">
      <c r="A6" s="816" t="s">
        <v>1336</v>
      </c>
      <c r="B6" s="817"/>
      <c r="C6" s="817"/>
      <c r="D6" s="817"/>
      <c r="E6" s="817"/>
      <c r="F6" s="817"/>
      <c r="G6" s="817"/>
      <c r="H6" s="817"/>
      <c r="I6" s="817"/>
      <c r="J6" s="817"/>
      <c r="K6" s="817"/>
      <c r="L6" s="817"/>
      <c r="M6" s="817"/>
      <c r="N6" s="817"/>
      <c r="O6" s="817"/>
      <c r="P6" s="817"/>
      <c r="Q6" s="817"/>
      <c r="R6" s="817"/>
      <c r="S6" s="817"/>
      <c r="T6" s="817"/>
      <c r="U6" s="817"/>
      <c r="V6" s="817"/>
      <c r="W6" s="817"/>
      <c r="X6" s="817"/>
      <c r="Y6" s="817"/>
      <c r="Z6" s="817"/>
      <c r="AA6" s="817"/>
      <c r="AB6" s="817"/>
      <c r="AC6" s="817"/>
      <c r="AD6" s="817"/>
      <c r="AE6" s="817"/>
      <c r="AF6" s="817"/>
      <c r="AG6" s="817"/>
      <c r="AH6" s="817"/>
      <c r="AI6" s="817"/>
      <c r="AJ6" s="817"/>
      <c r="AK6" s="817"/>
      <c r="AL6" s="817"/>
      <c r="AM6" s="817"/>
      <c r="AN6" s="817"/>
      <c r="AO6" s="817"/>
      <c r="AP6" s="817"/>
      <c r="AQ6" s="817"/>
      <c r="AR6" s="817"/>
      <c r="AS6" s="817"/>
      <c r="AT6" s="817"/>
      <c r="AU6" s="817"/>
      <c r="AV6" s="817"/>
      <c r="AW6" s="817"/>
      <c r="AX6" s="817"/>
      <c r="AY6" s="817"/>
      <c r="AZ6" s="817"/>
      <c r="BA6" s="817"/>
      <c r="BB6" s="817"/>
      <c r="BC6" s="817"/>
      <c r="BD6" s="817"/>
      <c r="BE6" s="817"/>
      <c r="BF6" s="817"/>
      <c r="BG6" s="817"/>
      <c r="BH6" s="817"/>
      <c r="BI6" s="817"/>
      <c r="BJ6" s="817"/>
      <c r="BK6" s="817"/>
      <c r="BL6" s="817"/>
      <c r="BM6" s="817"/>
      <c r="BN6" s="817"/>
      <c r="BO6" s="817"/>
      <c r="BP6" s="817"/>
      <c r="BQ6" s="817"/>
      <c r="BR6" s="817"/>
      <c r="BS6" s="817"/>
      <c r="BT6" s="817"/>
      <c r="BU6" s="817"/>
      <c r="BV6" s="817"/>
      <c r="BW6" s="817"/>
      <c r="BX6" s="817"/>
      <c r="BY6" s="817"/>
      <c r="BZ6" s="817"/>
      <c r="CA6" s="817"/>
      <c r="CB6" s="817"/>
      <c r="CC6" s="817"/>
      <c r="CD6" s="817"/>
      <c r="CE6" s="817"/>
      <c r="CF6" s="817"/>
      <c r="CG6" s="817"/>
      <c r="CH6" s="817"/>
      <c r="CI6" s="817"/>
      <c r="CJ6" s="817"/>
      <c r="CK6" s="817"/>
      <c r="CL6" s="817"/>
      <c r="CM6" s="817"/>
      <c r="CN6" s="817"/>
      <c r="CO6" s="817"/>
      <c r="CP6" s="817"/>
      <c r="CQ6" s="817"/>
      <c r="CR6" s="817"/>
      <c r="CS6" s="817"/>
      <c r="CT6" s="817">
        <f>4540.39+22739.015</f>
        <v>27279.404999999999</v>
      </c>
      <c r="CU6" s="817">
        <v>22052.254000000001</v>
      </c>
      <c r="CV6" s="817">
        <v>22130.066999999999</v>
      </c>
      <c r="CW6" s="817">
        <v>37580.339999999997</v>
      </c>
      <c r="CX6" s="817">
        <v>36420</v>
      </c>
      <c r="CY6" s="817">
        <v>36420</v>
      </c>
      <c r="CZ6" s="817"/>
      <c r="DA6" s="817"/>
      <c r="DB6" s="817"/>
      <c r="DC6" s="817"/>
      <c r="DD6" s="817"/>
      <c r="DE6" s="817"/>
      <c r="DF6" s="817"/>
      <c r="DG6" s="817"/>
      <c r="DH6" s="817"/>
      <c r="DI6" s="817"/>
      <c r="DJ6" s="817"/>
      <c r="DK6" s="817"/>
      <c r="DL6" s="817"/>
      <c r="DM6" s="817"/>
      <c r="DN6" s="817"/>
      <c r="DO6" s="817"/>
      <c r="DP6" s="817"/>
      <c r="DQ6" s="817"/>
      <c r="DR6" s="817">
        <v>936</v>
      </c>
      <c r="DS6" s="817">
        <v>936</v>
      </c>
      <c r="DT6" s="817">
        <v>936</v>
      </c>
      <c r="DU6" s="817"/>
      <c r="DV6" s="817"/>
      <c r="DW6" s="817"/>
      <c r="DX6" s="817"/>
      <c r="DY6" s="817"/>
      <c r="DZ6" s="817"/>
      <c r="EA6" s="817"/>
      <c r="EB6" s="817"/>
      <c r="EC6" s="817"/>
      <c r="ED6" s="817"/>
      <c r="EE6" s="817"/>
      <c r="EF6" s="817"/>
      <c r="EG6" s="817"/>
      <c r="EH6" s="817"/>
      <c r="EI6" s="817"/>
      <c r="EJ6" s="817"/>
      <c r="EK6" s="817"/>
      <c r="EL6" s="817"/>
      <c r="EM6" s="817"/>
      <c r="EN6" s="817"/>
      <c r="EO6" s="817"/>
      <c r="EP6" s="817"/>
      <c r="EQ6" s="817"/>
      <c r="ER6" s="817"/>
      <c r="ES6" s="817"/>
      <c r="ET6" s="817"/>
      <c r="EU6" s="817"/>
      <c r="EV6" s="818">
        <f t="shared" si="1"/>
        <v>65795.744999999995</v>
      </c>
      <c r="EW6" s="818">
        <f t="shared" si="0"/>
        <v>59408.254000000001</v>
      </c>
      <c r="EX6" s="818">
        <f t="shared" si="0"/>
        <v>59486.066999999995</v>
      </c>
    </row>
    <row r="7" spans="1:154">
      <c r="A7" s="816" t="s">
        <v>1337</v>
      </c>
      <c r="B7" s="817"/>
      <c r="C7" s="817"/>
      <c r="D7" s="817"/>
      <c r="E7" s="817"/>
      <c r="F7" s="817"/>
      <c r="G7" s="817"/>
      <c r="H7" s="817"/>
      <c r="I7" s="817"/>
      <c r="J7" s="817"/>
      <c r="K7" s="817"/>
      <c r="L7" s="817"/>
      <c r="M7" s="817"/>
      <c r="N7" s="817"/>
      <c r="O7" s="817"/>
      <c r="P7" s="817"/>
      <c r="Q7" s="817"/>
      <c r="R7" s="817"/>
      <c r="S7" s="817"/>
      <c r="T7" s="817"/>
      <c r="U7" s="817"/>
      <c r="V7" s="817"/>
      <c r="W7" s="817"/>
      <c r="X7" s="817"/>
      <c r="Y7" s="817"/>
      <c r="Z7" s="817"/>
      <c r="AA7" s="817"/>
      <c r="AB7" s="817"/>
      <c r="AC7" s="817"/>
      <c r="AD7" s="817"/>
      <c r="AE7" s="817"/>
      <c r="AF7" s="817"/>
      <c r="AG7" s="817"/>
      <c r="AH7" s="817"/>
      <c r="AI7" s="817"/>
      <c r="AJ7" s="817"/>
      <c r="AK7" s="817"/>
      <c r="AL7" s="817"/>
      <c r="AM7" s="817"/>
      <c r="AN7" s="817"/>
      <c r="AO7" s="817"/>
      <c r="AP7" s="817"/>
      <c r="AQ7" s="817"/>
      <c r="AR7" s="817"/>
      <c r="AS7" s="817"/>
      <c r="AT7" s="817"/>
      <c r="AU7" s="817"/>
      <c r="AV7" s="817"/>
      <c r="AW7" s="817"/>
      <c r="AX7" s="817"/>
      <c r="AY7" s="817"/>
      <c r="AZ7" s="817"/>
      <c r="BA7" s="817"/>
      <c r="BB7" s="817"/>
      <c r="BC7" s="817"/>
      <c r="BD7" s="817"/>
      <c r="BE7" s="817"/>
      <c r="BF7" s="817"/>
      <c r="BG7" s="817"/>
      <c r="BH7" s="817"/>
      <c r="BI7" s="817"/>
      <c r="BJ7" s="817"/>
      <c r="BK7" s="817"/>
      <c r="BL7" s="817"/>
      <c r="BM7" s="817"/>
      <c r="BN7" s="817"/>
      <c r="BO7" s="817"/>
      <c r="BP7" s="817"/>
      <c r="BQ7" s="817"/>
      <c r="BR7" s="817"/>
      <c r="BS7" s="817"/>
      <c r="BT7" s="817"/>
      <c r="BU7" s="817"/>
      <c r="BV7" s="817"/>
      <c r="BW7" s="817"/>
      <c r="BX7" s="817"/>
      <c r="BY7" s="817"/>
      <c r="BZ7" s="817"/>
      <c r="CA7" s="817"/>
      <c r="CB7" s="817"/>
      <c r="CC7" s="817"/>
      <c r="CD7" s="817"/>
      <c r="CE7" s="817"/>
      <c r="CF7" s="817"/>
      <c r="CG7" s="817"/>
      <c r="CH7" s="817"/>
      <c r="CI7" s="817"/>
      <c r="CJ7" s="817"/>
      <c r="CK7" s="817"/>
      <c r="CL7" s="817"/>
      <c r="CM7" s="817"/>
      <c r="CN7" s="817"/>
      <c r="CO7" s="817"/>
      <c r="CP7" s="817"/>
      <c r="CQ7" s="817"/>
      <c r="CR7" s="817"/>
      <c r="CS7" s="817"/>
      <c r="CT7" s="817"/>
      <c r="CU7" s="817"/>
      <c r="CV7" s="817"/>
      <c r="CW7" s="817"/>
      <c r="CX7" s="817"/>
      <c r="CY7" s="817"/>
      <c r="CZ7" s="817"/>
      <c r="DA7" s="817"/>
      <c r="DB7" s="817"/>
      <c r="DC7" s="817"/>
      <c r="DD7" s="817"/>
      <c r="DE7" s="817"/>
      <c r="DF7" s="817"/>
      <c r="DG7" s="817"/>
      <c r="DH7" s="817"/>
      <c r="DI7" s="817"/>
      <c r="DJ7" s="817"/>
      <c r="DK7" s="817"/>
      <c r="DL7" s="817"/>
      <c r="DM7" s="817"/>
      <c r="DN7" s="817"/>
      <c r="DO7" s="817"/>
      <c r="DP7" s="817"/>
      <c r="DQ7" s="817"/>
      <c r="DR7" s="817"/>
      <c r="DS7" s="817"/>
      <c r="DT7" s="817"/>
      <c r="DU7" s="817"/>
      <c r="DV7" s="817"/>
      <c r="DW7" s="817"/>
      <c r="DX7" s="817"/>
      <c r="DY7" s="817"/>
      <c r="DZ7" s="817"/>
      <c r="EA7" s="817"/>
      <c r="EB7" s="817"/>
      <c r="EC7" s="817"/>
      <c r="ED7" s="817"/>
      <c r="EE7" s="817"/>
      <c r="EF7" s="817"/>
      <c r="EG7" s="817"/>
      <c r="EH7" s="817"/>
      <c r="EI7" s="817"/>
      <c r="EJ7" s="817"/>
      <c r="EK7" s="817"/>
      <c r="EL7" s="817"/>
      <c r="EM7" s="817"/>
      <c r="EN7" s="817"/>
      <c r="EO7" s="817"/>
      <c r="EP7" s="817"/>
      <c r="EQ7" s="817"/>
      <c r="ER7" s="817"/>
      <c r="ES7" s="817"/>
      <c r="ET7" s="817"/>
      <c r="EU7" s="817"/>
      <c r="EV7" s="818">
        <f t="shared" si="1"/>
        <v>0</v>
      </c>
      <c r="EW7" s="818">
        <f t="shared" si="0"/>
        <v>0</v>
      </c>
      <c r="EX7" s="818">
        <f t="shared" si="0"/>
        <v>0</v>
      </c>
    </row>
    <row r="8" spans="1:154">
      <c r="A8" s="816" t="s">
        <v>1338</v>
      </c>
      <c r="B8" s="817"/>
      <c r="C8" s="817"/>
      <c r="D8" s="817"/>
      <c r="E8" s="817"/>
      <c r="F8" s="817"/>
      <c r="G8" s="817"/>
      <c r="H8" s="817"/>
      <c r="I8" s="817"/>
      <c r="J8" s="817"/>
      <c r="K8" s="817"/>
      <c r="L8" s="817"/>
      <c r="M8" s="817"/>
      <c r="N8" s="817"/>
      <c r="O8" s="817"/>
      <c r="P8" s="817"/>
      <c r="Q8" s="817"/>
      <c r="R8" s="817"/>
      <c r="S8" s="817"/>
      <c r="T8" s="817"/>
      <c r="U8" s="817"/>
      <c r="V8" s="817"/>
      <c r="W8" s="817"/>
      <c r="X8" s="817"/>
      <c r="Y8" s="817"/>
      <c r="Z8" s="817"/>
      <c r="AA8" s="817"/>
      <c r="AB8" s="817"/>
      <c r="AC8" s="817"/>
      <c r="AD8" s="817"/>
      <c r="AE8" s="817"/>
      <c r="AF8" s="817"/>
      <c r="AG8" s="817"/>
      <c r="AH8" s="817"/>
      <c r="AI8" s="817"/>
      <c r="AJ8" s="817"/>
      <c r="AK8" s="817"/>
      <c r="AL8" s="817"/>
      <c r="AM8" s="817"/>
      <c r="AN8" s="817"/>
      <c r="AO8" s="817"/>
      <c r="AP8" s="817"/>
      <c r="AQ8" s="817"/>
      <c r="AR8" s="817"/>
      <c r="AS8" s="817"/>
      <c r="AT8" s="817"/>
      <c r="AU8" s="817"/>
      <c r="AV8" s="817"/>
      <c r="AW8" s="817"/>
      <c r="AX8" s="817"/>
      <c r="AY8" s="817"/>
      <c r="AZ8" s="817"/>
      <c r="BA8" s="817"/>
      <c r="BB8" s="817"/>
      <c r="BC8" s="817"/>
      <c r="BD8" s="817"/>
      <c r="BE8" s="817"/>
      <c r="BF8" s="817"/>
      <c r="BG8" s="817"/>
      <c r="BH8" s="817"/>
      <c r="BI8" s="817"/>
      <c r="BJ8" s="817"/>
      <c r="BK8" s="817"/>
      <c r="BL8" s="817"/>
      <c r="BM8" s="817"/>
      <c r="BN8" s="817"/>
      <c r="BO8" s="817"/>
      <c r="BP8" s="817"/>
      <c r="BQ8" s="817"/>
      <c r="BR8" s="817"/>
      <c r="BS8" s="817"/>
      <c r="BT8" s="817"/>
      <c r="BU8" s="817"/>
      <c r="BV8" s="817"/>
      <c r="BW8" s="817"/>
      <c r="BX8" s="817"/>
      <c r="BY8" s="817"/>
      <c r="BZ8" s="817"/>
      <c r="CA8" s="817"/>
      <c r="CB8" s="817"/>
      <c r="CC8" s="817"/>
      <c r="CD8" s="817"/>
      <c r="CE8" s="817"/>
      <c r="CF8" s="817"/>
      <c r="CG8" s="817"/>
      <c r="CH8" s="817"/>
      <c r="CI8" s="817"/>
      <c r="CJ8" s="817"/>
      <c r="CK8" s="817"/>
      <c r="CL8" s="817"/>
      <c r="CM8" s="817"/>
      <c r="CN8" s="817"/>
      <c r="CO8" s="817"/>
      <c r="CP8" s="817"/>
      <c r="CQ8" s="817"/>
      <c r="CR8" s="817"/>
      <c r="CS8" s="817"/>
      <c r="CT8" s="817">
        <v>7046.4269999999997</v>
      </c>
      <c r="CU8" s="817">
        <v>6908.5429999999997</v>
      </c>
      <c r="CV8" s="817">
        <v>6897.8429999999998</v>
      </c>
      <c r="CW8" s="817">
        <v>18820.573</v>
      </c>
      <c r="CX8" s="817">
        <v>18278.156999999999</v>
      </c>
      <c r="CY8" s="817">
        <v>18278.156999999999</v>
      </c>
      <c r="CZ8" s="817"/>
      <c r="DA8" s="817"/>
      <c r="DB8" s="817"/>
      <c r="DC8" s="817"/>
      <c r="DD8" s="817"/>
      <c r="DE8" s="817"/>
      <c r="DF8" s="817"/>
      <c r="DG8" s="817"/>
      <c r="DH8" s="817"/>
      <c r="DI8" s="817"/>
      <c r="DJ8" s="817"/>
      <c r="DK8" s="817"/>
      <c r="DL8" s="817"/>
      <c r="DM8" s="817"/>
      <c r="DN8" s="817"/>
      <c r="DO8" s="817"/>
      <c r="DP8" s="817"/>
      <c r="DQ8" s="817"/>
      <c r="DR8" s="817">
        <v>1020</v>
      </c>
      <c r="DS8" s="817">
        <v>462</v>
      </c>
      <c r="DT8" s="817">
        <v>740</v>
      </c>
      <c r="DU8" s="817"/>
      <c r="DV8" s="817"/>
      <c r="DW8" s="817"/>
      <c r="DX8" s="817"/>
      <c r="DY8" s="817"/>
      <c r="DZ8" s="817"/>
      <c r="EA8" s="817"/>
      <c r="EB8" s="817"/>
      <c r="EC8" s="817"/>
      <c r="ED8" s="817"/>
      <c r="EE8" s="817"/>
      <c r="EF8" s="817"/>
      <c r="EG8" s="817"/>
      <c r="EH8" s="817"/>
      <c r="EI8" s="817"/>
      <c r="EJ8" s="817"/>
      <c r="EK8" s="817"/>
      <c r="EL8" s="817"/>
      <c r="EM8" s="817"/>
      <c r="EN8" s="817"/>
      <c r="EO8" s="817"/>
      <c r="EP8" s="817"/>
      <c r="EQ8" s="817"/>
      <c r="ER8" s="817"/>
      <c r="ES8" s="817"/>
      <c r="ET8" s="817"/>
      <c r="EU8" s="817"/>
      <c r="EV8" s="818">
        <f t="shared" si="1"/>
        <v>26887</v>
      </c>
      <c r="EW8" s="818">
        <f t="shared" si="0"/>
        <v>25648.699999999997</v>
      </c>
      <c r="EX8" s="818">
        <f t="shared" si="0"/>
        <v>25916</v>
      </c>
    </row>
    <row r="9" spans="1:154">
      <c r="A9" s="816" t="s">
        <v>1339</v>
      </c>
      <c r="B9" s="817"/>
      <c r="C9" s="817"/>
      <c r="D9" s="817"/>
      <c r="E9" s="817"/>
      <c r="F9" s="817"/>
      <c r="G9" s="817"/>
      <c r="H9" s="817"/>
      <c r="I9" s="817"/>
      <c r="J9" s="817"/>
      <c r="K9" s="817"/>
      <c r="L9" s="817"/>
      <c r="M9" s="817"/>
      <c r="N9" s="817"/>
      <c r="O9" s="817"/>
      <c r="P9" s="817"/>
      <c r="Q9" s="817"/>
      <c r="R9" s="817"/>
      <c r="S9" s="817"/>
      <c r="T9" s="817"/>
      <c r="U9" s="817"/>
      <c r="V9" s="817"/>
      <c r="W9" s="817"/>
      <c r="X9" s="817"/>
      <c r="Y9" s="817"/>
      <c r="Z9" s="817"/>
      <c r="AA9" s="817"/>
      <c r="AB9" s="817"/>
      <c r="AC9" s="817"/>
      <c r="AD9" s="817"/>
      <c r="AE9" s="817"/>
      <c r="AF9" s="817"/>
      <c r="AG9" s="817"/>
      <c r="AH9" s="817"/>
      <c r="AI9" s="817"/>
      <c r="AJ9" s="817"/>
      <c r="AK9" s="817"/>
      <c r="AL9" s="817"/>
      <c r="AM9" s="817"/>
      <c r="AN9" s="817"/>
      <c r="AO9" s="817"/>
      <c r="AP9" s="817"/>
      <c r="AQ9" s="817"/>
      <c r="AR9" s="817"/>
      <c r="AS9" s="817"/>
      <c r="AT9" s="817"/>
      <c r="AU9" s="817"/>
      <c r="AV9" s="817"/>
      <c r="AW9" s="817"/>
      <c r="AX9" s="817"/>
      <c r="AY9" s="817"/>
      <c r="AZ9" s="817"/>
      <c r="BA9" s="817"/>
      <c r="BB9" s="817"/>
      <c r="BC9" s="817"/>
      <c r="BD9" s="817"/>
      <c r="BE9" s="817"/>
      <c r="BF9" s="817"/>
      <c r="BG9" s="817"/>
      <c r="BH9" s="817"/>
      <c r="BI9" s="817"/>
      <c r="BJ9" s="817"/>
      <c r="BK9" s="817"/>
      <c r="BL9" s="817"/>
      <c r="BM9" s="817"/>
      <c r="BN9" s="817"/>
      <c r="BO9" s="817"/>
      <c r="BP9" s="817"/>
      <c r="BQ9" s="817"/>
      <c r="BR9" s="817"/>
      <c r="BS9" s="817"/>
      <c r="BT9" s="817"/>
      <c r="BU9" s="817"/>
      <c r="BV9" s="817"/>
      <c r="BW9" s="817"/>
      <c r="BX9" s="817"/>
      <c r="BY9" s="817"/>
      <c r="BZ9" s="817"/>
      <c r="CA9" s="817"/>
      <c r="CB9" s="817"/>
      <c r="CC9" s="817"/>
      <c r="CD9" s="817"/>
      <c r="CE9" s="817"/>
      <c r="CF9" s="817"/>
      <c r="CG9" s="817"/>
      <c r="CH9" s="817"/>
      <c r="CI9" s="817"/>
      <c r="CJ9" s="817"/>
      <c r="CK9" s="817"/>
      <c r="CL9" s="817"/>
      <c r="CM9" s="817"/>
      <c r="CN9" s="817"/>
      <c r="CO9" s="817"/>
      <c r="CP9" s="817"/>
      <c r="CQ9" s="817"/>
      <c r="CR9" s="817"/>
      <c r="CS9" s="817"/>
      <c r="CT9" s="817"/>
      <c r="CU9" s="817"/>
      <c r="CV9" s="817"/>
      <c r="CW9" s="817"/>
      <c r="CX9" s="817"/>
      <c r="CY9" s="817"/>
      <c r="CZ9" s="817"/>
      <c r="DA9" s="817"/>
      <c r="DB9" s="817"/>
      <c r="DC9" s="817"/>
      <c r="DD9" s="817"/>
      <c r="DE9" s="817"/>
      <c r="DF9" s="817"/>
      <c r="DG9" s="817"/>
      <c r="DH9" s="817"/>
      <c r="DI9" s="817"/>
      <c r="DJ9" s="817"/>
      <c r="DK9" s="817"/>
      <c r="DL9" s="817"/>
      <c r="DM9" s="817"/>
      <c r="DN9" s="817"/>
      <c r="DO9" s="817"/>
      <c r="DP9" s="817"/>
      <c r="DQ9" s="817"/>
      <c r="DR9" s="817"/>
      <c r="DS9" s="817"/>
      <c r="DT9" s="817"/>
      <c r="DU9" s="817"/>
      <c r="DV9" s="817"/>
      <c r="DW9" s="817"/>
      <c r="DX9" s="817"/>
      <c r="DY9" s="817"/>
      <c r="DZ9" s="817"/>
      <c r="EA9" s="817"/>
      <c r="EB9" s="817"/>
      <c r="EC9" s="817"/>
      <c r="ED9" s="817"/>
      <c r="EE9" s="817"/>
      <c r="EF9" s="817"/>
      <c r="EG9" s="817"/>
      <c r="EH9" s="817"/>
      <c r="EI9" s="817"/>
      <c r="EJ9" s="817"/>
      <c r="EK9" s="817"/>
      <c r="EL9" s="817"/>
      <c r="EM9" s="817"/>
      <c r="EN9" s="817"/>
      <c r="EO9" s="817"/>
      <c r="EP9" s="817"/>
      <c r="EQ9" s="817"/>
      <c r="ER9" s="817"/>
      <c r="ES9" s="817"/>
      <c r="ET9" s="817"/>
      <c r="EU9" s="817"/>
      <c r="EV9" s="818">
        <f t="shared" si="1"/>
        <v>0</v>
      </c>
      <c r="EW9" s="818">
        <f t="shared" si="0"/>
        <v>0</v>
      </c>
      <c r="EX9" s="818">
        <f t="shared" si="0"/>
        <v>0</v>
      </c>
    </row>
    <row r="10" spans="1:154">
      <c r="A10" s="816" t="s">
        <v>1340</v>
      </c>
      <c r="B10" s="817"/>
      <c r="C10" s="817"/>
      <c r="D10" s="817"/>
      <c r="E10" s="817"/>
      <c r="F10" s="817"/>
      <c r="G10" s="817"/>
      <c r="H10" s="817"/>
      <c r="I10" s="817"/>
      <c r="J10" s="817"/>
      <c r="K10" s="817"/>
      <c r="L10" s="817"/>
      <c r="M10" s="817"/>
      <c r="N10" s="817"/>
      <c r="O10" s="817"/>
      <c r="P10" s="817"/>
      <c r="Q10" s="817"/>
      <c r="R10" s="817"/>
      <c r="S10" s="817"/>
      <c r="T10" s="817"/>
      <c r="U10" s="817"/>
      <c r="V10" s="817"/>
      <c r="W10" s="817"/>
      <c r="X10" s="817"/>
      <c r="Y10" s="817"/>
      <c r="Z10" s="817"/>
      <c r="AA10" s="817"/>
      <c r="AB10" s="817"/>
      <c r="AC10" s="817"/>
      <c r="AD10" s="817"/>
      <c r="AE10" s="817"/>
      <c r="AF10" s="817"/>
      <c r="AG10" s="817"/>
      <c r="AH10" s="817"/>
      <c r="AI10" s="817"/>
      <c r="AJ10" s="817"/>
      <c r="AK10" s="817"/>
      <c r="AL10" s="817"/>
      <c r="AM10" s="817"/>
      <c r="AN10" s="817"/>
      <c r="AO10" s="817"/>
      <c r="AP10" s="817"/>
      <c r="AQ10" s="817"/>
      <c r="AR10" s="817"/>
      <c r="AS10" s="817"/>
      <c r="AT10" s="817"/>
      <c r="AU10" s="817"/>
      <c r="AV10" s="817"/>
      <c r="AW10" s="817"/>
      <c r="AX10" s="817"/>
      <c r="AY10" s="817"/>
      <c r="AZ10" s="817"/>
      <c r="BA10" s="817"/>
      <c r="BB10" s="817"/>
      <c r="BC10" s="817"/>
      <c r="BD10" s="817"/>
      <c r="BE10" s="817"/>
      <c r="BF10" s="817"/>
      <c r="BG10" s="817"/>
      <c r="BH10" s="817"/>
      <c r="BI10" s="817"/>
      <c r="BJ10" s="817"/>
      <c r="BK10" s="817"/>
      <c r="BL10" s="817"/>
      <c r="BM10" s="817"/>
      <c r="BN10" s="817"/>
      <c r="BO10" s="817"/>
      <c r="BP10" s="817"/>
      <c r="BQ10" s="817"/>
      <c r="BR10" s="817"/>
      <c r="BS10" s="817"/>
      <c r="BT10" s="817"/>
      <c r="BU10" s="817"/>
      <c r="BV10" s="817"/>
      <c r="BW10" s="817"/>
      <c r="BX10" s="817"/>
      <c r="BY10" s="817"/>
      <c r="BZ10" s="817"/>
      <c r="CA10" s="817"/>
      <c r="CB10" s="817"/>
      <c r="CC10" s="817"/>
      <c r="CD10" s="817"/>
      <c r="CE10" s="817"/>
      <c r="CF10" s="817"/>
      <c r="CG10" s="817"/>
      <c r="CH10" s="817"/>
      <c r="CI10" s="817"/>
      <c r="CJ10" s="817"/>
      <c r="CK10" s="817"/>
      <c r="CL10" s="817"/>
      <c r="CM10" s="817"/>
      <c r="CN10" s="817"/>
      <c r="CO10" s="817"/>
      <c r="CP10" s="817"/>
      <c r="CQ10" s="817"/>
      <c r="CR10" s="817"/>
      <c r="CS10" s="817"/>
      <c r="CT10" s="817"/>
      <c r="CU10" s="817"/>
      <c r="CV10" s="817"/>
      <c r="CW10" s="817"/>
      <c r="CX10" s="817"/>
      <c r="CY10" s="817"/>
      <c r="CZ10" s="817"/>
      <c r="DA10" s="817"/>
      <c r="DB10" s="817"/>
      <c r="DC10" s="817"/>
      <c r="DD10" s="817"/>
      <c r="DE10" s="817"/>
      <c r="DF10" s="817"/>
      <c r="DG10" s="817"/>
      <c r="DH10" s="817"/>
      <c r="DI10" s="817"/>
      <c r="DJ10" s="817"/>
      <c r="DK10" s="817"/>
      <c r="DL10" s="817"/>
      <c r="DM10" s="817"/>
      <c r="DN10" s="817"/>
      <c r="DO10" s="817"/>
      <c r="DP10" s="817"/>
      <c r="DQ10" s="817"/>
      <c r="DR10" s="817"/>
      <c r="DS10" s="817"/>
      <c r="DT10" s="817"/>
      <c r="DU10" s="817"/>
      <c r="DV10" s="817"/>
      <c r="DW10" s="817"/>
      <c r="DX10" s="817">
        <v>773.5</v>
      </c>
      <c r="DY10" s="817">
        <v>0</v>
      </c>
      <c r="DZ10" s="817">
        <v>0</v>
      </c>
      <c r="EA10" s="817"/>
      <c r="EB10" s="817"/>
      <c r="EC10" s="817"/>
      <c r="ED10" s="817"/>
      <c r="EE10" s="817"/>
      <c r="EF10" s="817"/>
      <c r="EG10" s="817"/>
      <c r="EH10" s="817"/>
      <c r="EI10" s="817"/>
      <c r="EJ10" s="817"/>
      <c r="EK10" s="817"/>
      <c r="EL10" s="817"/>
      <c r="EM10" s="817"/>
      <c r="EN10" s="817"/>
      <c r="EO10" s="817"/>
      <c r="EP10" s="817"/>
      <c r="EQ10" s="817"/>
      <c r="ER10" s="817"/>
      <c r="ES10" s="817"/>
      <c r="ET10" s="817"/>
      <c r="EU10" s="817"/>
      <c r="EV10" s="818">
        <f t="shared" si="1"/>
        <v>773.5</v>
      </c>
      <c r="EW10" s="818">
        <f t="shared" si="0"/>
        <v>0</v>
      </c>
      <c r="EX10" s="818">
        <f t="shared" si="0"/>
        <v>0</v>
      </c>
    </row>
    <row r="11" spans="1:154">
      <c r="A11" s="816" t="s">
        <v>1341</v>
      </c>
      <c r="B11" s="817">
        <v>2859.3</v>
      </c>
      <c r="C11" s="817">
        <v>2911.9</v>
      </c>
      <c r="D11" s="817">
        <v>2968.2</v>
      </c>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7"/>
      <c r="AD11" s="817"/>
      <c r="AE11" s="817"/>
      <c r="AF11" s="817"/>
      <c r="AG11" s="817"/>
      <c r="AH11" s="817"/>
      <c r="AI11" s="817"/>
      <c r="AJ11" s="817"/>
      <c r="AK11" s="817"/>
      <c r="AL11" s="817"/>
      <c r="AM11" s="817"/>
      <c r="AN11" s="817"/>
      <c r="AO11" s="817"/>
      <c r="AP11" s="817"/>
      <c r="AQ11" s="817"/>
      <c r="AR11" s="817">
        <f>2479.6+3.6</f>
        <v>2483.1999999999998</v>
      </c>
      <c r="AS11" s="817">
        <f>2490.2+3.7</f>
        <v>2493.8999999999996</v>
      </c>
      <c r="AT11" s="817">
        <f>2501.3+3.8</f>
        <v>2505.1000000000004</v>
      </c>
      <c r="AU11" s="817"/>
      <c r="AV11" s="817"/>
      <c r="AW11" s="817"/>
      <c r="AX11" s="817"/>
      <c r="AY11" s="817"/>
      <c r="AZ11" s="817"/>
      <c r="BA11" s="817"/>
      <c r="BB11" s="817"/>
      <c r="BC11" s="817"/>
      <c r="BD11" s="817"/>
      <c r="BE11" s="817"/>
      <c r="BF11" s="817"/>
      <c r="BG11" s="817">
        <v>2528.3000000000002</v>
      </c>
      <c r="BH11" s="817">
        <v>2528.3000000000002</v>
      </c>
      <c r="BI11" s="817">
        <v>2528.3000000000002</v>
      </c>
      <c r="BJ11" s="817"/>
      <c r="BK11" s="817"/>
      <c r="BL11" s="817"/>
      <c r="BM11" s="817"/>
      <c r="BN11" s="817"/>
      <c r="BO11" s="817"/>
      <c r="BP11" s="817"/>
      <c r="BQ11" s="817"/>
      <c r="BR11" s="817"/>
      <c r="BS11" s="817"/>
      <c r="BT11" s="817"/>
      <c r="BU11" s="817"/>
      <c r="BV11" s="817"/>
      <c r="BW11" s="817"/>
      <c r="BX11" s="817"/>
      <c r="BY11" s="817"/>
      <c r="BZ11" s="817"/>
      <c r="CA11" s="817"/>
      <c r="CB11" s="817"/>
      <c r="CC11" s="817"/>
      <c r="CD11" s="817"/>
      <c r="CE11" s="817"/>
      <c r="CF11" s="817"/>
      <c r="CG11" s="817"/>
      <c r="CH11" s="817"/>
      <c r="CI11" s="817"/>
      <c r="CJ11" s="817"/>
      <c r="CK11" s="817"/>
      <c r="CL11" s="817"/>
      <c r="CM11" s="817"/>
      <c r="CN11" s="817"/>
      <c r="CO11" s="817"/>
      <c r="CP11" s="817"/>
      <c r="CQ11" s="817"/>
      <c r="CR11" s="817"/>
      <c r="CS11" s="817"/>
      <c r="CT11" s="817"/>
      <c r="CU11" s="817"/>
      <c r="CV11" s="817"/>
      <c r="CW11" s="817"/>
      <c r="CX11" s="817"/>
      <c r="CY11" s="817"/>
      <c r="CZ11" s="817"/>
      <c r="DA11" s="817"/>
      <c r="DB11" s="817"/>
      <c r="DC11" s="817"/>
      <c r="DD11" s="817"/>
      <c r="DE11" s="817"/>
      <c r="DF11" s="817">
        <f>4169.1+9282.9</f>
        <v>13452</v>
      </c>
      <c r="DG11" s="817">
        <f>4169.1+9322</f>
        <v>13491.1</v>
      </c>
      <c r="DH11" s="817">
        <f>4169.1+9364.6</f>
        <v>13533.7</v>
      </c>
      <c r="DI11" s="817">
        <v>42.594000000000001</v>
      </c>
      <c r="DJ11" s="817">
        <v>0</v>
      </c>
      <c r="DK11" s="817">
        <v>0</v>
      </c>
      <c r="DL11" s="817"/>
      <c r="DM11" s="817"/>
      <c r="DN11" s="817"/>
      <c r="DO11" s="817"/>
      <c r="DP11" s="817"/>
      <c r="DQ11" s="817"/>
      <c r="DR11" s="817">
        <f>126+160</f>
        <v>286</v>
      </c>
      <c r="DS11" s="817">
        <f>94+160</f>
        <v>254</v>
      </c>
      <c r="DT11" s="817">
        <f>126+160</f>
        <v>286</v>
      </c>
      <c r="DU11" s="817"/>
      <c r="DV11" s="817"/>
      <c r="DW11" s="817"/>
      <c r="DX11" s="817"/>
      <c r="DY11" s="817"/>
      <c r="DZ11" s="817"/>
      <c r="EA11" s="817">
        <f>910</f>
        <v>910</v>
      </c>
      <c r="EB11" s="817">
        <v>0</v>
      </c>
      <c r="EC11" s="817">
        <v>0</v>
      </c>
      <c r="ED11" s="817">
        <f>0.6+15+97.699</f>
        <v>113.29899999999999</v>
      </c>
      <c r="EE11" s="817">
        <f>0.6+15+103.446</f>
        <v>119.04599999999999</v>
      </c>
      <c r="EF11" s="817">
        <f>0.6+15+109.193</f>
        <v>124.79299999999999</v>
      </c>
      <c r="EG11" s="817"/>
      <c r="EH11" s="817"/>
      <c r="EI11" s="817"/>
      <c r="EJ11" s="817"/>
      <c r="EK11" s="817"/>
      <c r="EL11" s="817"/>
      <c r="EM11" s="817"/>
      <c r="EN11" s="817"/>
      <c r="EO11" s="817"/>
      <c r="EP11" s="817">
        <v>238</v>
      </c>
      <c r="EQ11" s="817">
        <v>226.2</v>
      </c>
      <c r="ER11" s="817">
        <v>226.4</v>
      </c>
      <c r="ES11" s="817"/>
      <c r="ET11" s="817">
        <v>13624</v>
      </c>
      <c r="EU11" s="817">
        <v>27985</v>
      </c>
      <c r="EV11" s="818">
        <f t="shared" si="1"/>
        <v>22912.692999999999</v>
      </c>
      <c r="EW11" s="818">
        <f t="shared" si="0"/>
        <v>35648.445999999996</v>
      </c>
      <c r="EX11" s="818">
        <f t="shared" si="0"/>
        <v>50157.493000000002</v>
      </c>
    </row>
    <row r="12" spans="1:154">
      <c r="A12" s="816" t="s">
        <v>1342</v>
      </c>
      <c r="B12" s="817"/>
      <c r="C12" s="817"/>
      <c r="D12" s="817"/>
      <c r="E12" s="817"/>
      <c r="F12" s="817"/>
      <c r="G12" s="817"/>
      <c r="H12" s="817"/>
      <c r="I12" s="817"/>
      <c r="J12" s="817"/>
      <c r="K12" s="817"/>
      <c r="L12" s="817"/>
      <c r="M12" s="817"/>
      <c r="N12" s="817"/>
      <c r="O12" s="817"/>
      <c r="P12" s="817"/>
      <c r="Q12" s="817"/>
      <c r="R12" s="817"/>
      <c r="S12" s="817"/>
      <c r="T12" s="817"/>
      <c r="U12" s="817"/>
      <c r="V12" s="817"/>
      <c r="W12" s="817"/>
      <c r="X12" s="817"/>
      <c r="Y12" s="817"/>
      <c r="Z12" s="817"/>
      <c r="AA12" s="817"/>
      <c r="AB12" s="817"/>
      <c r="AC12" s="817"/>
      <c r="AD12" s="817"/>
      <c r="AE12" s="817"/>
      <c r="AF12" s="817"/>
      <c r="AG12" s="817"/>
      <c r="AH12" s="817"/>
      <c r="AI12" s="817"/>
      <c r="AJ12" s="817"/>
      <c r="AK12" s="817"/>
      <c r="AL12" s="817"/>
      <c r="AM12" s="817"/>
      <c r="AN12" s="817"/>
      <c r="AO12" s="817"/>
      <c r="AP12" s="817"/>
      <c r="AQ12" s="817"/>
      <c r="AR12" s="817"/>
      <c r="AS12" s="817"/>
      <c r="AT12" s="817"/>
      <c r="AU12" s="817"/>
      <c r="AV12" s="817"/>
      <c r="AW12" s="817"/>
      <c r="AX12" s="817"/>
      <c r="AY12" s="817"/>
      <c r="AZ12" s="817"/>
      <c r="BA12" s="817"/>
      <c r="BB12" s="817"/>
      <c r="BC12" s="817"/>
      <c r="BD12" s="817"/>
      <c r="BE12" s="817"/>
      <c r="BF12" s="817"/>
      <c r="BG12" s="817"/>
      <c r="BH12" s="817"/>
      <c r="BI12" s="817"/>
      <c r="BJ12" s="817"/>
      <c r="BK12" s="817"/>
      <c r="BL12" s="817"/>
      <c r="BM12" s="817"/>
      <c r="BN12" s="817"/>
      <c r="BO12" s="817"/>
      <c r="BP12" s="817"/>
      <c r="BQ12" s="817"/>
      <c r="BR12" s="817"/>
      <c r="BS12" s="817"/>
      <c r="BT12" s="817"/>
      <c r="BU12" s="817"/>
      <c r="BV12" s="817"/>
      <c r="BW12" s="817"/>
      <c r="BX12" s="817"/>
      <c r="BY12" s="817"/>
      <c r="BZ12" s="817"/>
      <c r="CA12" s="817"/>
      <c r="CB12" s="817"/>
      <c r="CC12" s="817"/>
      <c r="CD12" s="817"/>
      <c r="CE12" s="817"/>
      <c r="CF12" s="817"/>
      <c r="CG12" s="817"/>
      <c r="CH12" s="817"/>
      <c r="CI12" s="817"/>
      <c r="CJ12" s="817"/>
      <c r="CK12" s="817"/>
      <c r="CL12" s="817"/>
      <c r="CM12" s="817"/>
      <c r="CN12" s="817"/>
      <c r="CO12" s="817"/>
      <c r="CP12" s="817"/>
      <c r="CQ12" s="817"/>
      <c r="CR12" s="817"/>
      <c r="CS12" s="817"/>
      <c r="CT12" s="817"/>
      <c r="CU12" s="817"/>
      <c r="CV12" s="817"/>
      <c r="CW12" s="817"/>
      <c r="CX12" s="817"/>
      <c r="CY12" s="817"/>
      <c r="CZ12" s="817"/>
      <c r="DA12" s="817"/>
      <c r="DB12" s="817"/>
      <c r="DC12" s="817"/>
      <c r="DD12" s="817"/>
      <c r="DE12" s="817"/>
      <c r="DF12" s="817"/>
      <c r="DG12" s="817"/>
      <c r="DH12" s="817"/>
      <c r="DI12" s="817"/>
      <c r="DJ12" s="817"/>
      <c r="DK12" s="817"/>
      <c r="DL12" s="817"/>
      <c r="DM12" s="817"/>
      <c r="DN12" s="817"/>
      <c r="DO12" s="817"/>
      <c r="DP12" s="817"/>
      <c r="DQ12" s="817"/>
      <c r="DR12" s="817"/>
      <c r="DS12" s="817"/>
      <c r="DT12" s="817"/>
      <c r="DU12" s="817"/>
      <c r="DV12" s="817"/>
      <c r="DW12" s="817"/>
      <c r="DX12" s="817"/>
      <c r="DY12" s="817"/>
      <c r="DZ12" s="817"/>
      <c r="EA12" s="817"/>
      <c r="EB12" s="817"/>
      <c r="EC12" s="817"/>
      <c r="ED12" s="817"/>
      <c r="EE12" s="817"/>
      <c r="EF12" s="817"/>
      <c r="EG12" s="817"/>
      <c r="EH12" s="817"/>
      <c r="EI12" s="817"/>
      <c r="EJ12" s="817"/>
      <c r="EK12" s="817"/>
      <c r="EL12" s="817"/>
      <c r="EM12" s="817"/>
      <c r="EN12" s="817"/>
      <c r="EO12" s="817"/>
      <c r="EP12" s="817"/>
      <c r="EQ12" s="817"/>
      <c r="ER12" s="817"/>
      <c r="ES12" s="817"/>
      <c r="ET12" s="817"/>
      <c r="EU12" s="817"/>
      <c r="EV12" s="818">
        <f t="shared" si="1"/>
        <v>0</v>
      </c>
      <c r="EW12" s="818">
        <f t="shared" si="0"/>
        <v>0</v>
      </c>
      <c r="EX12" s="818">
        <f t="shared" si="0"/>
        <v>0</v>
      </c>
    </row>
    <row r="13" spans="1:154">
      <c r="A13" s="816" t="s">
        <v>1343</v>
      </c>
      <c r="B13" s="817"/>
      <c r="C13" s="817"/>
      <c r="D13" s="817"/>
      <c r="E13" s="817"/>
      <c r="F13" s="817"/>
      <c r="G13" s="817"/>
      <c r="H13" s="817"/>
      <c r="I13" s="817"/>
      <c r="J13" s="817"/>
      <c r="K13" s="817"/>
      <c r="L13" s="817"/>
      <c r="M13" s="817"/>
      <c r="N13" s="817"/>
      <c r="O13" s="817"/>
      <c r="P13" s="817"/>
      <c r="Q13" s="817"/>
      <c r="R13" s="817"/>
      <c r="S13" s="817"/>
      <c r="T13" s="817"/>
      <c r="U13" s="817"/>
      <c r="V13" s="817"/>
      <c r="W13" s="817"/>
      <c r="X13" s="817"/>
      <c r="Y13" s="817"/>
      <c r="Z13" s="817"/>
      <c r="AA13" s="817"/>
      <c r="AB13" s="817"/>
      <c r="AC13" s="817"/>
      <c r="AD13" s="817"/>
      <c r="AE13" s="817"/>
      <c r="AF13" s="817"/>
      <c r="AG13" s="817"/>
      <c r="AH13" s="817"/>
      <c r="AI13" s="817"/>
      <c r="AJ13" s="817"/>
      <c r="AK13" s="817"/>
      <c r="AL13" s="817"/>
      <c r="AM13" s="817"/>
      <c r="AN13" s="817"/>
      <c r="AO13" s="817"/>
      <c r="AP13" s="817"/>
      <c r="AQ13" s="817"/>
      <c r="AR13" s="817"/>
      <c r="AS13" s="817"/>
      <c r="AT13" s="817"/>
      <c r="AU13" s="817"/>
      <c r="AV13" s="817"/>
      <c r="AW13" s="817"/>
      <c r="AX13" s="817"/>
      <c r="AY13" s="817"/>
      <c r="AZ13" s="817"/>
      <c r="BA13" s="817"/>
      <c r="BB13" s="817"/>
      <c r="BC13" s="817"/>
      <c r="BD13" s="817"/>
      <c r="BE13" s="817"/>
      <c r="BF13" s="817"/>
      <c r="BG13" s="817"/>
      <c r="BH13" s="817"/>
      <c r="BI13" s="817"/>
      <c r="BJ13" s="817"/>
      <c r="BK13" s="817"/>
      <c r="BL13" s="817"/>
      <c r="BM13" s="817"/>
      <c r="BN13" s="817"/>
      <c r="BO13" s="817"/>
      <c r="BP13" s="817"/>
      <c r="BQ13" s="817"/>
      <c r="BR13" s="817"/>
      <c r="BS13" s="817"/>
      <c r="BT13" s="817"/>
      <c r="BU13" s="817"/>
      <c r="BV13" s="817"/>
      <c r="BW13" s="817"/>
      <c r="BX13" s="817"/>
      <c r="BY13" s="817"/>
      <c r="BZ13" s="817"/>
      <c r="CA13" s="817"/>
      <c r="CB13" s="817"/>
      <c r="CC13" s="817"/>
      <c r="CD13" s="817"/>
      <c r="CE13" s="817"/>
      <c r="CF13" s="817"/>
      <c r="CG13" s="817"/>
      <c r="CH13" s="817"/>
      <c r="CI13" s="817"/>
      <c r="CJ13" s="817"/>
      <c r="CK13" s="817"/>
      <c r="CL13" s="817"/>
      <c r="CM13" s="817"/>
      <c r="CN13" s="817"/>
      <c r="CO13" s="817"/>
      <c r="CP13" s="817"/>
      <c r="CQ13" s="817"/>
      <c r="CR13" s="817"/>
      <c r="CS13" s="817"/>
      <c r="CT13" s="817"/>
      <c r="CU13" s="817"/>
      <c r="CV13" s="817"/>
      <c r="CW13" s="817"/>
      <c r="CX13" s="817"/>
      <c r="CY13" s="817"/>
      <c r="CZ13" s="817"/>
      <c r="DA13" s="817"/>
      <c r="DB13" s="817"/>
      <c r="DC13" s="817"/>
      <c r="DD13" s="817"/>
      <c r="DE13" s="817"/>
      <c r="DF13" s="817"/>
      <c r="DG13" s="817"/>
      <c r="DH13" s="817"/>
      <c r="DI13" s="817"/>
      <c r="DJ13" s="817"/>
      <c r="DK13" s="817"/>
      <c r="DL13" s="817"/>
      <c r="DM13" s="817"/>
      <c r="DN13" s="817"/>
      <c r="DO13" s="817"/>
      <c r="DP13" s="817"/>
      <c r="DQ13" s="817"/>
      <c r="DR13" s="817"/>
      <c r="DS13" s="817"/>
      <c r="DT13" s="817"/>
      <c r="DU13" s="817"/>
      <c r="DV13" s="817"/>
      <c r="DW13" s="817"/>
      <c r="DX13" s="817"/>
      <c r="DY13" s="817"/>
      <c r="DZ13" s="817"/>
      <c r="EA13" s="817"/>
      <c r="EB13" s="817"/>
      <c r="EC13" s="817"/>
      <c r="ED13" s="817"/>
      <c r="EE13" s="817"/>
      <c r="EF13" s="817"/>
      <c r="EG13" s="817"/>
      <c r="EH13" s="817"/>
      <c r="EI13" s="817"/>
      <c r="EJ13" s="817"/>
      <c r="EK13" s="817"/>
      <c r="EL13" s="817"/>
      <c r="EM13" s="817"/>
      <c r="EN13" s="817"/>
      <c r="EO13" s="817"/>
      <c r="EP13" s="817"/>
      <c r="EQ13" s="817"/>
      <c r="ER13" s="817"/>
      <c r="ES13" s="817"/>
      <c r="ET13" s="817"/>
      <c r="EU13" s="817"/>
      <c r="EV13" s="818">
        <f t="shared" si="1"/>
        <v>0</v>
      </c>
      <c r="EW13" s="818">
        <f t="shared" si="0"/>
        <v>0</v>
      </c>
      <c r="EX13" s="818">
        <f t="shared" si="0"/>
        <v>0</v>
      </c>
    </row>
    <row r="14" spans="1:154">
      <c r="A14" s="816" t="s">
        <v>1344</v>
      </c>
      <c r="B14" s="817"/>
      <c r="C14" s="817"/>
      <c r="D14" s="817"/>
      <c r="E14" s="817"/>
      <c r="F14" s="817"/>
      <c r="G14" s="817"/>
      <c r="H14" s="817"/>
      <c r="I14" s="817"/>
      <c r="J14" s="817"/>
      <c r="K14" s="817"/>
      <c r="L14" s="817"/>
      <c r="M14" s="817"/>
      <c r="N14" s="817"/>
      <c r="O14" s="817"/>
      <c r="P14" s="817"/>
      <c r="Q14" s="817">
        <v>1213.8</v>
      </c>
      <c r="R14" s="817">
        <v>30</v>
      </c>
      <c r="S14" s="817">
        <v>30</v>
      </c>
      <c r="T14" s="817"/>
      <c r="U14" s="817"/>
      <c r="V14" s="817"/>
      <c r="W14" s="817"/>
      <c r="X14" s="817"/>
      <c r="Y14" s="817"/>
      <c r="Z14" s="817"/>
      <c r="AA14" s="817"/>
      <c r="AB14" s="817"/>
      <c r="AC14" s="817"/>
      <c r="AD14" s="817"/>
      <c r="AE14" s="817"/>
      <c r="AF14" s="817"/>
      <c r="AG14" s="817"/>
      <c r="AH14" s="817"/>
      <c r="AI14" s="817"/>
      <c r="AJ14" s="817"/>
      <c r="AK14" s="817"/>
      <c r="AL14" s="817"/>
      <c r="AM14" s="817"/>
      <c r="AN14" s="817"/>
      <c r="AO14" s="817"/>
      <c r="AP14" s="817"/>
      <c r="AQ14" s="817"/>
      <c r="AR14" s="817"/>
      <c r="AS14" s="817"/>
      <c r="AT14" s="817"/>
      <c r="AU14" s="817"/>
      <c r="AV14" s="817"/>
      <c r="AW14" s="817"/>
      <c r="AX14" s="817"/>
      <c r="AY14" s="817"/>
      <c r="AZ14" s="817"/>
      <c r="BA14" s="817"/>
      <c r="BB14" s="817"/>
      <c r="BC14" s="817"/>
      <c r="BD14" s="817"/>
      <c r="BE14" s="817"/>
      <c r="BF14" s="817"/>
      <c r="BG14" s="817"/>
      <c r="BH14" s="817"/>
      <c r="BI14" s="817"/>
      <c r="BJ14" s="817"/>
      <c r="BK14" s="817"/>
      <c r="BL14" s="817"/>
      <c r="BM14" s="817"/>
      <c r="BN14" s="817"/>
      <c r="BO14" s="817"/>
      <c r="BP14" s="817"/>
      <c r="BQ14" s="817"/>
      <c r="BR14" s="817"/>
      <c r="BS14" s="817"/>
      <c r="BT14" s="817"/>
      <c r="BU14" s="817"/>
      <c r="BV14" s="817"/>
      <c r="BW14" s="817"/>
      <c r="BX14" s="817"/>
      <c r="BY14" s="817"/>
      <c r="BZ14" s="817"/>
      <c r="CA14" s="817"/>
      <c r="CB14" s="817"/>
      <c r="CC14" s="817"/>
      <c r="CD14" s="817"/>
      <c r="CE14" s="817"/>
      <c r="CF14" s="817"/>
      <c r="CG14" s="817"/>
      <c r="CH14" s="817"/>
      <c r="CI14" s="817"/>
      <c r="CJ14" s="817"/>
      <c r="CK14" s="817"/>
      <c r="CL14" s="817"/>
      <c r="CM14" s="817"/>
      <c r="CN14" s="817"/>
      <c r="CO14" s="817"/>
      <c r="CP14" s="817"/>
      <c r="CQ14" s="817"/>
      <c r="CR14" s="817"/>
      <c r="CS14" s="817"/>
      <c r="CT14" s="817"/>
      <c r="CU14" s="817"/>
      <c r="CV14" s="817"/>
      <c r="CW14" s="817"/>
      <c r="CX14" s="817"/>
      <c r="CY14" s="817"/>
      <c r="CZ14" s="817"/>
      <c r="DA14" s="817"/>
      <c r="DB14" s="817"/>
      <c r="DC14" s="817"/>
      <c r="DD14" s="817"/>
      <c r="DE14" s="817"/>
      <c r="DF14" s="817"/>
      <c r="DG14" s="817"/>
      <c r="DH14" s="817"/>
      <c r="DI14" s="817"/>
      <c r="DJ14" s="817"/>
      <c r="DK14" s="817"/>
      <c r="DL14" s="817"/>
      <c r="DM14" s="817"/>
      <c r="DN14" s="817"/>
      <c r="DO14" s="817"/>
      <c r="DP14" s="817"/>
      <c r="DQ14" s="817"/>
      <c r="DR14" s="817"/>
      <c r="DS14" s="817"/>
      <c r="DT14" s="817"/>
      <c r="DU14" s="817"/>
      <c r="DV14" s="817"/>
      <c r="DW14" s="817"/>
      <c r="DX14" s="817"/>
      <c r="DY14" s="817"/>
      <c r="DZ14" s="817"/>
      <c r="EA14" s="817"/>
      <c r="EB14" s="817"/>
      <c r="EC14" s="817"/>
      <c r="ED14" s="817"/>
      <c r="EE14" s="817"/>
      <c r="EF14" s="817"/>
      <c r="EG14" s="817"/>
      <c r="EH14" s="817"/>
      <c r="EI14" s="817"/>
      <c r="EJ14" s="817"/>
      <c r="EK14" s="817"/>
      <c r="EL14" s="817"/>
      <c r="EM14" s="817"/>
      <c r="EN14" s="817"/>
      <c r="EO14" s="817"/>
      <c r="EP14" s="817"/>
      <c r="EQ14" s="817"/>
      <c r="ER14" s="817"/>
      <c r="ES14" s="817"/>
      <c r="ET14" s="817"/>
      <c r="EU14" s="817"/>
      <c r="EV14" s="818">
        <f t="shared" si="1"/>
        <v>1213.8</v>
      </c>
      <c r="EW14" s="818">
        <f t="shared" si="0"/>
        <v>30</v>
      </c>
      <c r="EX14" s="818">
        <f t="shared" si="0"/>
        <v>30</v>
      </c>
    </row>
    <row r="15" spans="1:154">
      <c r="A15" s="816" t="s">
        <v>1373</v>
      </c>
      <c r="B15" s="817"/>
      <c r="C15" s="817"/>
      <c r="D15" s="817"/>
      <c r="E15" s="817"/>
      <c r="F15" s="817"/>
      <c r="G15" s="817"/>
      <c r="H15" s="817"/>
      <c r="I15" s="817"/>
      <c r="J15" s="817"/>
      <c r="K15" s="817"/>
      <c r="L15" s="817"/>
      <c r="M15" s="817"/>
      <c r="N15" s="817"/>
      <c r="O15" s="817"/>
      <c r="P15" s="817"/>
      <c r="Q15" s="817"/>
      <c r="R15" s="817"/>
      <c r="S15" s="817"/>
      <c r="T15" s="817"/>
      <c r="U15" s="817"/>
      <c r="V15" s="817"/>
      <c r="W15" s="817"/>
      <c r="X15" s="817"/>
      <c r="Y15" s="817"/>
      <c r="Z15" s="817"/>
      <c r="AA15" s="817"/>
      <c r="AB15" s="817"/>
      <c r="AC15" s="817"/>
      <c r="AD15" s="817"/>
      <c r="AE15" s="817"/>
      <c r="AF15" s="817"/>
      <c r="AG15" s="817"/>
      <c r="AH15" s="817"/>
      <c r="AI15" s="817"/>
      <c r="AJ15" s="817"/>
      <c r="AK15" s="817"/>
      <c r="AL15" s="817"/>
      <c r="AM15" s="817"/>
      <c r="AN15" s="817"/>
      <c r="AO15" s="817"/>
      <c r="AP15" s="817"/>
      <c r="AQ15" s="817"/>
      <c r="AR15" s="817"/>
      <c r="AS15" s="817"/>
      <c r="AT15" s="817"/>
      <c r="AU15" s="817"/>
      <c r="AV15" s="817"/>
      <c r="AW15" s="817"/>
      <c r="AX15" s="817"/>
      <c r="AY15" s="817"/>
      <c r="AZ15" s="817"/>
      <c r="BA15" s="817"/>
      <c r="BB15" s="817"/>
      <c r="BC15" s="817"/>
      <c r="BD15" s="817"/>
      <c r="BE15" s="817"/>
      <c r="BF15" s="817"/>
      <c r="BG15" s="817"/>
      <c r="BH15" s="817"/>
      <c r="BI15" s="817"/>
      <c r="BJ15" s="817"/>
      <c r="BK15" s="817"/>
      <c r="BL15" s="817"/>
      <c r="BM15" s="817"/>
      <c r="BN15" s="817"/>
      <c r="BO15" s="817"/>
      <c r="BP15" s="817"/>
      <c r="BQ15" s="817"/>
      <c r="BR15" s="817"/>
      <c r="BS15" s="817"/>
      <c r="BT15" s="817"/>
      <c r="BU15" s="817"/>
      <c r="BV15" s="817"/>
      <c r="BW15" s="817"/>
      <c r="BX15" s="817"/>
      <c r="BY15" s="817"/>
      <c r="BZ15" s="817"/>
      <c r="CA15" s="817"/>
      <c r="CB15" s="817"/>
      <c r="CC15" s="817"/>
      <c r="CD15" s="817"/>
      <c r="CE15" s="817"/>
      <c r="CF15" s="817"/>
      <c r="CG15" s="817"/>
      <c r="CH15" s="817"/>
      <c r="CI15" s="817"/>
      <c r="CJ15" s="817"/>
      <c r="CK15" s="817"/>
      <c r="CL15" s="817"/>
      <c r="CM15" s="817"/>
      <c r="CN15" s="817"/>
      <c r="CO15" s="817"/>
      <c r="CP15" s="817"/>
      <c r="CQ15" s="817"/>
      <c r="CR15" s="817"/>
      <c r="CS15" s="817"/>
      <c r="CT15" s="817"/>
      <c r="CU15" s="817"/>
      <c r="CV15" s="817"/>
      <c r="CW15" s="817"/>
      <c r="CX15" s="817"/>
      <c r="CY15" s="817"/>
      <c r="CZ15" s="817"/>
      <c r="DA15" s="817"/>
      <c r="DB15" s="817"/>
      <c r="DC15" s="817"/>
      <c r="DD15" s="817"/>
      <c r="DE15" s="817"/>
      <c r="DF15" s="817"/>
      <c r="DG15" s="817"/>
      <c r="DH15" s="817"/>
      <c r="DI15" s="817"/>
      <c r="DJ15" s="817"/>
      <c r="DK15" s="817"/>
      <c r="DL15" s="817"/>
      <c r="DM15" s="817"/>
      <c r="DN15" s="817"/>
      <c r="DO15" s="817"/>
      <c r="DP15" s="817"/>
      <c r="DQ15" s="817"/>
      <c r="DR15" s="817"/>
      <c r="DS15" s="817"/>
      <c r="DT15" s="817"/>
      <c r="DU15" s="817"/>
      <c r="DV15" s="817"/>
      <c r="DW15" s="817"/>
      <c r="DX15" s="817"/>
      <c r="DY15" s="817"/>
      <c r="DZ15" s="817"/>
      <c r="EA15" s="817"/>
      <c r="EB15" s="817"/>
      <c r="EC15" s="817"/>
      <c r="ED15" s="817"/>
      <c r="EE15" s="817"/>
      <c r="EF15" s="817"/>
      <c r="EG15" s="817"/>
      <c r="EH15" s="817"/>
      <c r="EI15" s="817"/>
      <c r="EJ15" s="817"/>
      <c r="EK15" s="817"/>
      <c r="EL15" s="817"/>
      <c r="EM15" s="817"/>
      <c r="EN15" s="817"/>
      <c r="EO15" s="817"/>
      <c r="EP15" s="817"/>
      <c r="EQ15" s="817"/>
      <c r="ER15" s="817"/>
      <c r="ES15" s="817"/>
      <c r="ET15" s="817"/>
      <c r="EU15" s="817"/>
      <c r="EV15" s="818">
        <f t="shared" si="1"/>
        <v>0</v>
      </c>
      <c r="EW15" s="818">
        <f t="shared" si="0"/>
        <v>0</v>
      </c>
      <c r="EX15" s="818">
        <f t="shared" si="0"/>
        <v>0</v>
      </c>
    </row>
    <row r="16" spans="1:154">
      <c r="A16" s="816" t="s">
        <v>1345</v>
      </c>
      <c r="B16" s="817"/>
      <c r="C16" s="817"/>
      <c r="D16" s="817"/>
      <c r="E16" s="817"/>
      <c r="F16" s="817"/>
      <c r="G16" s="817"/>
      <c r="H16" s="817"/>
      <c r="I16" s="817"/>
      <c r="J16" s="817"/>
      <c r="K16" s="817"/>
      <c r="L16" s="817"/>
      <c r="M16" s="817"/>
      <c r="N16" s="817"/>
      <c r="O16" s="817"/>
      <c r="P16" s="817"/>
      <c r="Q16" s="817"/>
      <c r="R16" s="817"/>
      <c r="S16" s="817"/>
      <c r="T16" s="817"/>
      <c r="U16" s="817"/>
      <c r="V16" s="817"/>
      <c r="W16" s="817"/>
      <c r="X16" s="817"/>
      <c r="Y16" s="817"/>
      <c r="Z16" s="817"/>
      <c r="AA16" s="817"/>
      <c r="AB16" s="817"/>
      <c r="AC16" s="817"/>
      <c r="AD16" s="817"/>
      <c r="AE16" s="817"/>
      <c r="AF16" s="817"/>
      <c r="AG16" s="817"/>
      <c r="AH16" s="817"/>
      <c r="AI16" s="817"/>
      <c r="AJ16" s="817"/>
      <c r="AK16" s="817"/>
      <c r="AL16" s="817"/>
      <c r="AM16" s="817"/>
      <c r="AN16" s="817"/>
      <c r="AO16" s="817"/>
      <c r="AP16" s="817"/>
      <c r="AQ16" s="817"/>
      <c r="AR16" s="817"/>
      <c r="AS16" s="817"/>
      <c r="AT16" s="817"/>
      <c r="AU16" s="817"/>
      <c r="AV16" s="817"/>
      <c r="AW16" s="817"/>
      <c r="AX16" s="817"/>
      <c r="AY16" s="817"/>
      <c r="AZ16" s="817"/>
      <c r="BA16" s="817"/>
      <c r="BB16" s="817"/>
      <c r="BC16" s="817"/>
      <c r="BD16" s="817"/>
      <c r="BE16" s="817"/>
      <c r="BF16" s="817"/>
      <c r="BG16" s="817"/>
      <c r="BH16" s="817"/>
      <c r="BI16" s="817"/>
      <c r="BJ16" s="817"/>
      <c r="BK16" s="817"/>
      <c r="BL16" s="817"/>
      <c r="BM16" s="817"/>
      <c r="BN16" s="817"/>
      <c r="BO16" s="817"/>
      <c r="BP16" s="817"/>
      <c r="BQ16" s="817"/>
      <c r="BR16" s="817"/>
      <c r="BS16" s="817"/>
      <c r="BT16" s="817"/>
      <c r="BU16" s="817"/>
      <c r="BV16" s="817"/>
      <c r="BW16" s="817"/>
      <c r="BX16" s="817"/>
      <c r="BY16" s="817"/>
      <c r="BZ16" s="817"/>
      <c r="CA16" s="817"/>
      <c r="CB16" s="817"/>
      <c r="CC16" s="817"/>
      <c r="CD16" s="817"/>
      <c r="CE16" s="817"/>
      <c r="CF16" s="817"/>
      <c r="CG16" s="817"/>
      <c r="CH16" s="817"/>
      <c r="CI16" s="817"/>
      <c r="CJ16" s="817"/>
      <c r="CK16" s="817"/>
      <c r="CL16" s="817"/>
      <c r="CM16" s="817"/>
      <c r="CN16" s="817"/>
      <c r="CO16" s="817"/>
      <c r="CP16" s="817"/>
      <c r="CQ16" s="817"/>
      <c r="CR16" s="817"/>
      <c r="CS16" s="817"/>
      <c r="CT16" s="817"/>
      <c r="CU16" s="817"/>
      <c r="CV16" s="817"/>
      <c r="CW16" s="817"/>
      <c r="CX16" s="817"/>
      <c r="CY16" s="817"/>
      <c r="CZ16" s="817"/>
      <c r="DA16" s="817"/>
      <c r="DB16" s="817"/>
      <c r="DC16" s="817"/>
      <c r="DD16" s="817"/>
      <c r="DE16" s="817"/>
      <c r="DF16" s="817"/>
      <c r="DG16" s="817"/>
      <c r="DH16" s="817"/>
      <c r="DI16" s="817"/>
      <c r="DJ16" s="817"/>
      <c r="DK16" s="817"/>
      <c r="DL16" s="817"/>
      <c r="DM16" s="817"/>
      <c r="DN16" s="817"/>
      <c r="DO16" s="817"/>
      <c r="DP16" s="817"/>
      <c r="DQ16" s="817"/>
      <c r="DR16" s="817"/>
      <c r="DS16" s="817"/>
      <c r="DT16" s="817"/>
      <c r="DU16" s="817"/>
      <c r="DV16" s="817"/>
      <c r="DW16" s="817"/>
      <c r="DX16" s="817"/>
      <c r="DY16" s="817"/>
      <c r="DZ16" s="817"/>
      <c r="EA16" s="817"/>
      <c r="EB16" s="817"/>
      <c r="EC16" s="817"/>
      <c r="ED16" s="817"/>
      <c r="EE16" s="817"/>
      <c r="EF16" s="817"/>
      <c r="EG16" s="817"/>
      <c r="EH16" s="817"/>
      <c r="EI16" s="817"/>
      <c r="EJ16" s="817"/>
      <c r="EK16" s="817"/>
      <c r="EL16" s="817"/>
      <c r="EM16" s="817"/>
      <c r="EN16" s="817"/>
      <c r="EO16" s="817"/>
      <c r="EP16" s="817"/>
      <c r="EQ16" s="817"/>
      <c r="ER16" s="817"/>
      <c r="ES16" s="817"/>
      <c r="ET16" s="817"/>
      <c r="EU16" s="817"/>
      <c r="EV16" s="818">
        <f t="shared" si="1"/>
        <v>0</v>
      </c>
      <c r="EW16" s="818">
        <f t="shared" si="0"/>
        <v>0</v>
      </c>
      <c r="EX16" s="818">
        <f t="shared" si="0"/>
        <v>0</v>
      </c>
    </row>
    <row r="17" spans="1:154">
      <c r="A17" s="816" t="s">
        <v>1346</v>
      </c>
      <c r="B17" s="817"/>
      <c r="C17" s="817"/>
      <c r="D17" s="817"/>
      <c r="E17" s="817"/>
      <c r="F17" s="817"/>
      <c r="G17" s="817"/>
      <c r="H17" s="817"/>
      <c r="I17" s="817"/>
      <c r="J17" s="817"/>
      <c r="K17" s="817"/>
      <c r="L17" s="817"/>
      <c r="M17" s="817"/>
      <c r="N17" s="817"/>
      <c r="O17" s="817"/>
      <c r="P17" s="817"/>
      <c r="Q17" s="817"/>
      <c r="R17" s="817"/>
      <c r="S17" s="817"/>
      <c r="T17" s="817"/>
      <c r="U17" s="817"/>
      <c r="V17" s="817"/>
      <c r="W17" s="817"/>
      <c r="X17" s="817"/>
      <c r="Y17" s="817"/>
      <c r="Z17" s="817"/>
      <c r="AA17" s="817"/>
      <c r="AB17" s="817"/>
      <c r="AC17" s="817"/>
      <c r="AD17" s="817"/>
      <c r="AE17" s="817"/>
      <c r="AF17" s="817"/>
      <c r="AG17" s="817"/>
      <c r="AH17" s="817"/>
      <c r="AI17" s="817"/>
      <c r="AJ17" s="817"/>
      <c r="AK17" s="817"/>
      <c r="AL17" s="817"/>
      <c r="AM17" s="817"/>
      <c r="AN17" s="817"/>
      <c r="AO17" s="817"/>
      <c r="AP17" s="817"/>
      <c r="AQ17" s="817"/>
      <c r="AR17" s="817"/>
      <c r="AS17" s="817"/>
      <c r="AT17" s="817"/>
      <c r="AU17" s="817"/>
      <c r="AV17" s="817"/>
      <c r="AW17" s="817"/>
      <c r="AX17" s="817"/>
      <c r="AY17" s="817"/>
      <c r="AZ17" s="817"/>
      <c r="BA17" s="817">
        <v>1146.7</v>
      </c>
      <c r="BB17" s="817">
        <v>700</v>
      </c>
      <c r="BC17" s="817">
        <v>700</v>
      </c>
      <c r="BD17" s="817"/>
      <c r="BE17" s="817"/>
      <c r="BF17" s="817"/>
      <c r="BG17" s="817"/>
      <c r="BH17" s="817"/>
      <c r="BI17" s="817"/>
      <c r="BJ17" s="817"/>
      <c r="BK17" s="817"/>
      <c r="BL17" s="817"/>
      <c r="BM17" s="817"/>
      <c r="BN17" s="817"/>
      <c r="BO17" s="817"/>
      <c r="BP17" s="817"/>
      <c r="BQ17" s="817"/>
      <c r="BR17" s="817"/>
      <c r="BS17" s="817"/>
      <c r="BT17" s="817"/>
      <c r="BU17" s="817"/>
      <c r="BV17" s="817"/>
      <c r="BW17" s="817"/>
      <c r="BX17" s="817"/>
      <c r="BY17" s="817"/>
      <c r="BZ17" s="817"/>
      <c r="CA17" s="817"/>
      <c r="CB17" s="817"/>
      <c r="CC17" s="817"/>
      <c r="CD17" s="817"/>
      <c r="CE17" s="817"/>
      <c r="CF17" s="817"/>
      <c r="CG17" s="817"/>
      <c r="CH17" s="817"/>
      <c r="CI17" s="817"/>
      <c r="CJ17" s="817"/>
      <c r="CK17" s="817"/>
      <c r="CL17" s="817"/>
      <c r="CM17" s="817"/>
      <c r="CN17" s="817"/>
      <c r="CO17" s="817"/>
      <c r="CP17" s="817"/>
      <c r="CQ17" s="817"/>
      <c r="CR17" s="817"/>
      <c r="CS17" s="817"/>
      <c r="CT17" s="817"/>
      <c r="CU17" s="817"/>
      <c r="CV17" s="817"/>
      <c r="CW17" s="817"/>
      <c r="CX17" s="817"/>
      <c r="CY17" s="817"/>
      <c r="CZ17" s="817"/>
      <c r="DA17" s="817"/>
      <c r="DB17" s="817"/>
      <c r="DC17" s="817"/>
      <c r="DD17" s="817"/>
      <c r="DE17" s="817"/>
      <c r="DF17" s="817"/>
      <c r="DG17" s="817"/>
      <c r="DH17" s="817"/>
      <c r="DI17" s="817"/>
      <c r="DJ17" s="817"/>
      <c r="DK17" s="817"/>
      <c r="DL17" s="817"/>
      <c r="DM17" s="817"/>
      <c r="DN17" s="817"/>
      <c r="DO17" s="817"/>
      <c r="DP17" s="817"/>
      <c r="DQ17" s="817"/>
      <c r="DR17" s="817"/>
      <c r="DS17" s="817"/>
      <c r="DT17" s="817"/>
      <c r="DU17" s="817"/>
      <c r="DV17" s="817"/>
      <c r="DW17" s="817"/>
      <c r="DX17" s="817"/>
      <c r="DY17" s="817"/>
      <c r="DZ17" s="817"/>
      <c r="EA17" s="817"/>
      <c r="EB17" s="817"/>
      <c r="EC17" s="817"/>
      <c r="ED17" s="817"/>
      <c r="EE17" s="817"/>
      <c r="EF17" s="817"/>
      <c r="EG17" s="817"/>
      <c r="EH17" s="817"/>
      <c r="EI17" s="817"/>
      <c r="EJ17" s="817"/>
      <c r="EK17" s="817"/>
      <c r="EL17" s="817"/>
      <c r="EM17" s="817"/>
      <c r="EN17" s="817"/>
      <c r="EO17" s="817"/>
      <c r="EP17" s="817"/>
      <c r="EQ17" s="817"/>
      <c r="ER17" s="817"/>
      <c r="ES17" s="817"/>
      <c r="ET17" s="817"/>
      <c r="EU17" s="817"/>
      <c r="EV17" s="818">
        <f t="shared" si="1"/>
        <v>1146.7</v>
      </c>
      <c r="EW17" s="818">
        <f t="shared" si="0"/>
        <v>700</v>
      </c>
      <c r="EX17" s="818">
        <f t="shared" si="0"/>
        <v>700</v>
      </c>
    </row>
    <row r="18" spans="1:154">
      <c r="A18" s="816" t="s">
        <v>1347</v>
      </c>
      <c r="B18" s="817"/>
      <c r="C18" s="817"/>
      <c r="D18" s="817"/>
      <c r="E18" s="817"/>
      <c r="F18" s="817"/>
      <c r="G18" s="817"/>
      <c r="H18" s="817"/>
      <c r="I18" s="817"/>
      <c r="J18" s="817"/>
      <c r="K18" s="817"/>
      <c r="L18" s="817"/>
      <c r="M18" s="817"/>
      <c r="N18" s="817"/>
      <c r="O18" s="817"/>
      <c r="P18" s="817"/>
      <c r="Q18" s="817"/>
      <c r="R18" s="817"/>
      <c r="S18" s="817"/>
      <c r="T18" s="817"/>
      <c r="U18" s="817"/>
      <c r="V18" s="817"/>
      <c r="W18" s="817"/>
      <c r="X18" s="817"/>
      <c r="Y18" s="817"/>
      <c r="Z18" s="817"/>
      <c r="AA18" s="817"/>
      <c r="AB18" s="817"/>
      <c r="AC18" s="817"/>
      <c r="AD18" s="817"/>
      <c r="AE18" s="817"/>
      <c r="AF18" s="817"/>
      <c r="AG18" s="817"/>
      <c r="AH18" s="817"/>
      <c r="AI18" s="817"/>
      <c r="AJ18" s="817"/>
      <c r="AK18" s="817"/>
      <c r="AL18" s="817"/>
      <c r="AM18" s="817"/>
      <c r="AN18" s="817"/>
      <c r="AO18" s="817"/>
      <c r="AP18" s="817"/>
      <c r="AQ18" s="817"/>
      <c r="AR18" s="817"/>
      <c r="AS18" s="817"/>
      <c r="AT18" s="817"/>
      <c r="AU18" s="817"/>
      <c r="AV18" s="817"/>
      <c r="AW18" s="817"/>
      <c r="AX18" s="817">
        <v>1830</v>
      </c>
      <c r="AY18" s="817">
        <v>0</v>
      </c>
      <c r="AZ18" s="817">
        <v>0</v>
      </c>
      <c r="BA18" s="817"/>
      <c r="BB18" s="817"/>
      <c r="BC18" s="817"/>
      <c r="BD18" s="817"/>
      <c r="BE18" s="817"/>
      <c r="BF18" s="817"/>
      <c r="BG18" s="817"/>
      <c r="BH18" s="817"/>
      <c r="BI18" s="817"/>
      <c r="BJ18" s="817"/>
      <c r="BK18" s="817"/>
      <c r="BL18" s="817"/>
      <c r="BM18" s="817"/>
      <c r="BN18" s="817"/>
      <c r="BO18" s="817"/>
      <c r="BP18" s="817"/>
      <c r="BQ18" s="817"/>
      <c r="BR18" s="817"/>
      <c r="BS18" s="817"/>
      <c r="BT18" s="817"/>
      <c r="BU18" s="817"/>
      <c r="BV18" s="817"/>
      <c r="BW18" s="817"/>
      <c r="BX18" s="817"/>
      <c r="BY18" s="817"/>
      <c r="BZ18" s="817"/>
      <c r="CA18" s="817"/>
      <c r="CB18" s="817"/>
      <c r="CC18" s="817"/>
      <c r="CD18" s="817"/>
      <c r="CE18" s="817"/>
      <c r="CF18" s="817"/>
      <c r="CG18" s="817"/>
      <c r="CH18" s="817"/>
      <c r="CI18" s="817"/>
      <c r="CJ18" s="817"/>
      <c r="CK18" s="817"/>
      <c r="CL18" s="817"/>
      <c r="CM18" s="817"/>
      <c r="CN18" s="817"/>
      <c r="CO18" s="817"/>
      <c r="CP18" s="817"/>
      <c r="CQ18" s="817"/>
      <c r="CR18" s="817"/>
      <c r="CS18" s="817"/>
      <c r="CT18" s="817"/>
      <c r="CU18" s="817"/>
      <c r="CV18" s="817"/>
      <c r="CW18" s="817"/>
      <c r="CX18" s="817"/>
      <c r="CY18" s="817"/>
      <c r="CZ18" s="817"/>
      <c r="DA18" s="817"/>
      <c r="DB18" s="817"/>
      <c r="DC18" s="817"/>
      <c r="DD18" s="817"/>
      <c r="DE18" s="817"/>
      <c r="DF18" s="817"/>
      <c r="DG18" s="817"/>
      <c r="DH18" s="817"/>
      <c r="DI18" s="817"/>
      <c r="DJ18" s="817"/>
      <c r="DK18" s="817"/>
      <c r="DL18" s="817"/>
      <c r="DM18" s="817"/>
      <c r="DN18" s="817"/>
      <c r="DO18" s="817"/>
      <c r="DP18" s="817"/>
      <c r="DQ18" s="817"/>
      <c r="DR18" s="817"/>
      <c r="DS18" s="817"/>
      <c r="DT18" s="817"/>
      <c r="DU18" s="817"/>
      <c r="DV18" s="817"/>
      <c r="DW18" s="817"/>
      <c r="DX18" s="817"/>
      <c r="DY18" s="817"/>
      <c r="DZ18" s="817"/>
      <c r="EA18" s="817"/>
      <c r="EB18" s="817"/>
      <c r="EC18" s="817"/>
      <c r="ED18" s="817"/>
      <c r="EE18" s="817"/>
      <c r="EF18" s="817"/>
      <c r="EG18" s="817"/>
      <c r="EH18" s="817"/>
      <c r="EI18" s="817"/>
      <c r="EJ18" s="817"/>
      <c r="EK18" s="817"/>
      <c r="EL18" s="817"/>
      <c r="EM18" s="817"/>
      <c r="EN18" s="817"/>
      <c r="EO18" s="817"/>
      <c r="EP18" s="817"/>
      <c r="EQ18" s="817"/>
      <c r="ER18" s="817"/>
      <c r="ES18" s="817"/>
      <c r="ET18" s="817"/>
      <c r="EU18" s="817"/>
      <c r="EV18" s="818">
        <f t="shared" si="1"/>
        <v>1830</v>
      </c>
      <c r="EW18" s="818">
        <f t="shared" si="0"/>
        <v>0</v>
      </c>
      <c r="EX18" s="818">
        <f t="shared" si="0"/>
        <v>0</v>
      </c>
    </row>
    <row r="19" spans="1:154">
      <c r="A19" s="816" t="s">
        <v>1348</v>
      </c>
      <c r="B19" s="817"/>
      <c r="C19" s="817"/>
      <c r="D19" s="817"/>
      <c r="E19" s="817"/>
      <c r="F19" s="817"/>
      <c r="G19" s="817"/>
      <c r="H19" s="817"/>
      <c r="I19" s="817"/>
      <c r="J19" s="817"/>
      <c r="K19" s="817">
        <f>6500+4541.1</f>
        <v>11041.1</v>
      </c>
      <c r="L19" s="817">
        <v>6000</v>
      </c>
      <c r="M19" s="817">
        <v>6000</v>
      </c>
      <c r="N19" s="817">
        <v>7784.1970000000001</v>
      </c>
      <c r="O19" s="817">
        <v>0</v>
      </c>
      <c r="P19" s="817">
        <v>0</v>
      </c>
      <c r="Q19" s="817"/>
      <c r="R19" s="817"/>
      <c r="S19" s="817"/>
      <c r="T19" s="817"/>
      <c r="U19" s="817"/>
      <c r="V19" s="817"/>
      <c r="W19" s="817"/>
      <c r="X19" s="817"/>
      <c r="Y19" s="817"/>
      <c r="Z19" s="817"/>
      <c r="AA19" s="817"/>
      <c r="AB19" s="817"/>
      <c r="AC19" s="817"/>
      <c r="AD19" s="817"/>
      <c r="AE19" s="817"/>
      <c r="AF19" s="817"/>
      <c r="AG19" s="817"/>
      <c r="AH19" s="817"/>
      <c r="AI19" s="817"/>
      <c r="AJ19" s="817"/>
      <c r="AK19" s="817"/>
      <c r="AL19" s="817"/>
      <c r="AM19" s="817"/>
      <c r="AN19" s="817"/>
      <c r="AO19" s="817"/>
      <c r="AP19" s="817"/>
      <c r="AQ19" s="817"/>
      <c r="AR19" s="817"/>
      <c r="AS19" s="817"/>
      <c r="AT19" s="817"/>
      <c r="AU19" s="817"/>
      <c r="AV19" s="817"/>
      <c r="AW19" s="817"/>
      <c r="AX19" s="817"/>
      <c r="AY19" s="817"/>
      <c r="AZ19" s="817"/>
      <c r="BA19" s="817"/>
      <c r="BB19" s="817"/>
      <c r="BC19" s="817"/>
      <c r="BD19" s="817"/>
      <c r="BE19" s="817"/>
      <c r="BF19" s="817"/>
      <c r="BG19" s="817"/>
      <c r="BH19" s="817"/>
      <c r="BI19" s="817"/>
      <c r="BJ19" s="817"/>
      <c r="BK19" s="817"/>
      <c r="BL19" s="817"/>
      <c r="BM19" s="817"/>
      <c r="BN19" s="817"/>
      <c r="BO19" s="817"/>
      <c r="BP19" s="817"/>
      <c r="BQ19" s="817"/>
      <c r="BR19" s="817"/>
      <c r="BS19" s="817"/>
      <c r="BT19" s="817"/>
      <c r="BU19" s="817"/>
      <c r="BV19" s="817"/>
      <c r="BW19" s="817"/>
      <c r="BX19" s="817"/>
      <c r="BY19" s="817"/>
      <c r="BZ19" s="817"/>
      <c r="CA19" s="817"/>
      <c r="CB19" s="817"/>
      <c r="CC19" s="817"/>
      <c r="CD19" s="817"/>
      <c r="CE19" s="817"/>
      <c r="CF19" s="817"/>
      <c r="CG19" s="817"/>
      <c r="CH19" s="817"/>
      <c r="CI19" s="817"/>
      <c r="CJ19" s="817"/>
      <c r="CK19" s="817"/>
      <c r="CL19" s="817"/>
      <c r="CM19" s="817"/>
      <c r="CN19" s="817"/>
      <c r="CO19" s="817"/>
      <c r="CP19" s="817"/>
      <c r="CQ19" s="817"/>
      <c r="CR19" s="817"/>
      <c r="CS19" s="817"/>
      <c r="CT19" s="817"/>
      <c r="CU19" s="817"/>
      <c r="CV19" s="817"/>
      <c r="CW19" s="817"/>
      <c r="CX19" s="817"/>
      <c r="CY19" s="817"/>
      <c r="CZ19" s="817"/>
      <c r="DA19" s="817"/>
      <c r="DB19" s="817"/>
      <c r="DC19" s="817"/>
      <c r="DD19" s="817"/>
      <c r="DE19" s="817"/>
      <c r="DF19" s="817"/>
      <c r="DG19" s="817"/>
      <c r="DH19" s="817"/>
      <c r="DI19" s="817"/>
      <c r="DJ19" s="817"/>
      <c r="DK19" s="817"/>
      <c r="DL19" s="817"/>
      <c r="DM19" s="817"/>
      <c r="DN19" s="817"/>
      <c r="DO19" s="817"/>
      <c r="DP19" s="817"/>
      <c r="DQ19" s="817"/>
      <c r="DR19" s="817"/>
      <c r="DS19" s="817"/>
      <c r="DT19" s="817"/>
      <c r="DU19" s="817"/>
      <c r="DV19" s="817"/>
      <c r="DW19" s="817"/>
      <c r="DX19" s="817"/>
      <c r="DY19" s="817"/>
      <c r="DZ19" s="817"/>
      <c r="EA19" s="817"/>
      <c r="EB19" s="817"/>
      <c r="EC19" s="817"/>
      <c r="ED19" s="817"/>
      <c r="EE19" s="817"/>
      <c r="EF19" s="817"/>
      <c r="EG19" s="817"/>
      <c r="EH19" s="817"/>
      <c r="EI19" s="817"/>
      <c r="EJ19" s="817"/>
      <c r="EK19" s="817"/>
      <c r="EL19" s="817"/>
      <c r="EM19" s="817"/>
      <c r="EN19" s="817"/>
      <c r="EO19" s="817"/>
      <c r="EP19" s="817"/>
      <c r="EQ19" s="817"/>
      <c r="ER19" s="817"/>
      <c r="ES19" s="817"/>
      <c r="ET19" s="817"/>
      <c r="EU19" s="817"/>
      <c r="EV19" s="818">
        <f t="shared" si="1"/>
        <v>18825.296999999999</v>
      </c>
      <c r="EW19" s="818">
        <f t="shared" si="0"/>
        <v>6000</v>
      </c>
      <c r="EX19" s="818">
        <f t="shared" si="0"/>
        <v>6000</v>
      </c>
    </row>
    <row r="20" spans="1:154">
      <c r="A20" s="816" t="s">
        <v>1349</v>
      </c>
      <c r="B20" s="817"/>
      <c r="C20" s="817"/>
      <c r="D20" s="817"/>
      <c r="E20" s="817"/>
      <c r="F20" s="817"/>
      <c r="G20" s="817"/>
      <c r="H20" s="817">
        <v>3742.2</v>
      </c>
      <c r="I20" s="817">
        <v>2889.2</v>
      </c>
      <c r="J20" s="817">
        <v>3451.1</v>
      </c>
      <c r="K20" s="817"/>
      <c r="L20" s="817"/>
      <c r="M20" s="817"/>
      <c r="N20" s="817"/>
      <c r="O20" s="817"/>
      <c r="P20" s="817"/>
      <c r="Q20" s="817"/>
      <c r="R20" s="817"/>
      <c r="S20" s="817"/>
      <c r="T20" s="817"/>
      <c r="U20" s="817"/>
      <c r="V20" s="817"/>
      <c r="W20" s="817"/>
      <c r="X20" s="817"/>
      <c r="Y20" s="817"/>
      <c r="Z20" s="817"/>
      <c r="AA20" s="817"/>
      <c r="AB20" s="817"/>
      <c r="AC20" s="817"/>
      <c r="AD20" s="817"/>
      <c r="AE20" s="817"/>
      <c r="AF20" s="817"/>
      <c r="AG20" s="817"/>
      <c r="AH20" s="817"/>
      <c r="AI20" s="817"/>
      <c r="AJ20" s="817"/>
      <c r="AK20" s="817"/>
      <c r="AL20" s="817"/>
      <c r="AM20" s="817"/>
      <c r="AN20" s="817"/>
      <c r="AO20" s="817"/>
      <c r="AP20" s="817"/>
      <c r="AQ20" s="817"/>
      <c r="AR20" s="817"/>
      <c r="AS20" s="817"/>
      <c r="AT20" s="817"/>
      <c r="AU20" s="817"/>
      <c r="AV20" s="817"/>
      <c r="AW20" s="817"/>
      <c r="AX20" s="817"/>
      <c r="AY20" s="817"/>
      <c r="AZ20" s="817"/>
      <c r="BA20" s="817"/>
      <c r="BB20" s="817"/>
      <c r="BC20" s="817"/>
      <c r="BD20" s="817"/>
      <c r="BE20" s="817"/>
      <c r="BF20" s="817"/>
      <c r="BG20" s="817"/>
      <c r="BH20" s="817"/>
      <c r="BI20" s="817"/>
      <c r="BJ20" s="817"/>
      <c r="BK20" s="817"/>
      <c r="BL20" s="817"/>
      <c r="BM20" s="817"/>
      <c r="BN20" s="817"/>
      <c r="BO20" s="817"/>
      <c r="BP20" s="817"/>
      <c r="BQ20" s="817"/>
      <c r="BR20" s="817"/>
      <c r="BS20" s="817"/>
      <c r="BT20" s="817"/>
      <c r="BU20" s="817"/>
      <c r="BV20" s="817"/>
      <c r="BW20" s="817"/>
      <c r="BX20" s="817"/>
      <c r="BY20" s="817"/>
      <c r="BZ20" s="817"/>
      <c r="CA20" s="817"/>
      <c r="CB20" s="817"/>
      <c r="CC20" s="817"/>
      <c r="CD20" s="817"/>
      <c r="CE20" s="817"/>
      <c r="CF20" s="817"/>
      <c r="CG20" s="817"/>
      <c r="CH20" s="817"/>
      <c r="CI20" s="817"/>
      <c r="CJ20" s="817"/>
      <c r="CK20" s="817"/>
      <c r="CL20" s="817"/>
      <c r="CM20" s="817"/>
      <c r="CN20" s="817"/>
      <c r="CO20" s="817"/>
      <c r="CP20" s="817"/>
      <c r="CQ20" s="817"/>
      <c r="CR20" s="817"/>
      <c r="CS20" s="817"/>
      <c r="CT20" s="817"/>
      <c r="CU20" s="817"/>
      <c r="CV20" s="817"/>
      <c r="CW20" s="817"/>
      <c r="CX20" s="817"/>
      <c r="CY20" s="817"/>
      <c r="CZ20" s="817"/>
      <c r="DA20" s="817"/>
      <c r="DB20" s="817"/>
      <c r="DC20" s="817"/>
      <c r="DD20" s="817"/>
      <c r="DE20" s="817"/>
      <c r="DF20" s="817"/>
      <c r="DG20" s="817"/>
      <c r="DH20" s="817"/>
      <c r="DI20" s="817"/>
      <c r="DJ20" s="817"/>
      <c r="DK20" s="817"/>
      <c r="DL20" s="817"/>
      <c r="DM20" s="817"/>
      <c r="DN20" s="817"/>
      <c r="DO20" s="817"/>
      <c r="DP20" s="817"/>
      <c r="DQ20" s="817"/>
      <c r="DR20" s="817"/>
      <c r="DS20" s="817"/>
      <c r="DT20" s="817"/>
      <c r="DU20" s="817"/>
      <c r="DV20" s="817"/>
      <c r="DW20" s="817"/>
      <c r="DX20" s="817"/>
      <c r="DY20" s="817"/>
      <c r="DZ20" s="817"/>
      <c r="EA20" s="817"/>
      <c r="EB20" s="817"/>
      <c r="EC20" s="817"/>
      <c r="ED20" s="817"/>
      <c r="EE20" s="817"/>
      <c r="EF20" s="817"/>
      <c r="EG20" s="817"/>
      <c r="EH20" s="817"/>
      <c r="EI20" s="817"/>
      <c r="EJ20" s="817"/>
      <c r="EK20" s="817"/>
      <c r="EL20" s="817"/>
      <c r="EM20" s="817"/>
      <c r="EN20" s="817"/>
      <c r="EO20" s="817"/>
      <c r="EP20" s="817"/>
      <c r="EQ20" s="817"/>
      <c r="ER20" s="817"/>
      <c r="ES20" s="817"/>
      <c r="ET20" s="817"/>
      <c r="EU20" s="817"/>
      <c r="EV20" s="818">
        <f t="shared" si="1"/>
        <v>3742.2</v>
      </c>
      <c r="EW20" s="818">
        <f t="shared" si="1"/>
        <v>2889.2</v>
      </c>
      <c r="EX20" s="818">
        <f t="shared" si="1"/>
        <v>3451.1</v>
      </c>
    </row>
    <row r="21" spans="1:154">
      <c r="A21" s="816" t="s">
        <v>1350</v>
      </c>
      <c r="B21" s="817"/>
      <c r="C21" s="817"/>
      <c r="D21" s="817"/>
      <c r="E21" s="817"/>
      <c r="F21" s="817"/>
      <c r="G21" s="817"/>
      <c r="H21" s="817"/>
      <c r="I21" s="817"/>
      <c r="J21" s="817"/>
      <c r="K21" s="817"/>
      <c r="L21" s="817"/>
      <c r="M21" s="817"/>
      <c r="N21" s="817"/>
      <c r="O21" s="817"/>
      <c r="P21" s="817"/>
      <c r="Q21" s="817"/>
      <c r="R21" s="817"/>
      <c r="S21" s="817"/>
      <c r="T21" s="817"/>
      <c r="U21" s="817"/>
      <c r="V21" s="817"/>
      <c r="W21" s="817"/>
      <c r="X21" s="817"/>
      <c r="Y21" s="817"/>
      <c r="Z21" s="817"/>
      <c r="AA21" s="817"/>
      <c r="AB21" s="817"/>
      <c r="AC21" s="817"/>
      <c r="AD21" s="817"/>
      <c r="AE21" s="817"/>
      <c r="AF21" s="817"/>
      <c r="AG21" s="817"/>
      <c r="AH21" s="817"/>
      <c r="AI21" s="817"/>
      <c r="AJ21" s="817"/>
      <c r="AK21" s="817"/>
      <c r="AL21" s="817"/>
      <c r="AM21" s="817"/>
      <c r="AN21" s="817"/>
      <c r="AO21" s="817"/>
      <c r="AP21" s="817"/>
      <c r="AQ21" s="817"/>
      <c r="AR21" s="817"/>
      <c r="AS21" s="817"/>
      <c r="AT21" s="817"/>
      <c r="AU21" s="817"/>
      <c r="AV21" s="817"/>
      <c r="AW21" s="817"/>
      <c r="AX21" s="817"/>
      <c r="AY21" s="817"/>
      <c r="AZ21" s="817"/>
      <c r="BA21" s="817"/>
      <c r="BB21" s="817"/>
      <c r="BC21" s="817"/>
      <c r="BD21" s="817"/>
      <c r="BE21" s="817"/>
      <c r="BF21" s="817"/>
      <c r="BG21" s="817"/>
      <c r="BH21" s="817"/>
      <c r="BI21" s="817"/>
      <c r="BJ21" s="817"/>
      <c r="BK21" s="817"/>
      <c r="BL21" s="817"/>
      <c r="BM21" s="817"/>
      <c r="BN21" s="817"/>
      <c r="BO21" s="817"/>
      <c r="BP21" s="817"/>
      <c r="BQ21" s="817"/>
      <c r="BR21" s="817"/>
      <c r="BS21" s="817"/>
      <c r="BT21" s="817"/>
      <c r="BU21" s="817"/>
      <c r="BV21" s="817"/>
      <c r="BW21" s="817"/>
      <c r="BX21" s="817"/>
      <c r="BY21" s="817"/>
      <c r="BZ21" s="817"/>
      <c r="CA21" s="817"/>
      <c r="CB21" s="817"/>
      <c r="CC21" s="817"/>
      <c r="CD21" s="817"/>
      <c r="CE21" s="817"/>
      <c r="CF21" s="817"/>
      <c r="CG21" s="817"/>
      <c r="CH21" s="817"/>
      <c r="CI21" s="817"/>
      <c r="CJ21" s="817"/>
      <c r="CK21" s="817"/>
      <c r="CL21" s="817"/>
      <c r="CM21" s="817"/>
      <c r="CN21" s="817"/>
      <c r="CO21" s="817"/>
      <c r="CP21" s="817"/>
      <c r="CQ21" s="817"/>
      <c r="CR21" s="817"/>
      <c r="CS21" s="817"/>
      <c r="CT21" s="817"/>
      <c r="CU21" s="817"/>
      <c r="CV21" s="817"/>
      <c r="CW21" s="817"/>
      <c r="CX21" s="817"/>
      <c r="CY21" s="817"/>
      <c r="CZ21" s="817"/>
      <c r="DA21" s="817"/>
      <c r="DB21" s="817"/>
      <c r="DC21" s="817"/>
      <c r="DD21" s="817"/>
      <c r="DE21" s="817"/>
      <c r="DF21" s="817"/>
      <c r="DG21" s="817"/>
      <c r="DH21" s="817"/>
      <c r="DI21" s="817"/>
      <c r="DJ21" s="817"/>
      <c r="DK21" s="817"/>
      <c r="DL21" s="817"/>
      <c r="DM21" s="817"/>
      <c r="DN21" s="817"/>
      <c r="DO21" s="817"/>
      <c r="DP21" s="817"/>
      <c r="DQ21" s="817"/>
      <c r="DR21" s="817"/>
      <c r="DS21" s="817"/>
      <c r="DT21" s="817"/>
      <c r="DU21" s="817"/>
      <c r="DV21" s="817"/>
      <c r="DW21" s="817"/>
      <c r="DX21" s="817"/>
      <c r="DY21" s="817"/>
      <c r="DZ21" s="817"/>
      <c r="EA21" s="817"/>
      <c r="EB21" s="817"/>
      <c r="EC21" s="817"/>
      <c r="ED21" s="817"/>
      <c r="EE21" s="817"/>
      <c r="EF21" s="817"/>
      <c r="EG21" s="817"/>
      <c r="EH21" s="817"/>
      <c r="EI21" s="817"/>
      <c r="EJ21" s="817"/>
      <c r="EK21" s="817"/>
      <c r="EL21" s="817"/>
      <c r="EM21" s="817"/>
      <c r="EN21" s="817"/>
      <c r="EO21" s="817"/>
      <c r="EP21" s="817"/>
      <c r="EQ21" s="817"/>
      <c r="ER21" s="817"/>
      <c r="ES21" s="817"/>
      <c r="ET21" s="817"/>
      <c r="EU21" s="817"/>
      <c r="EV21" s="818">
        <f t="shared" si="1"/>
        <v>0</v>
      </c>
      <c r="EW21" s="818">
        <f t="shared" si="1"/>
        <v>0</v>
      </c>
      <c r="EX21" s="818">
        <f t="shared" si="1"/>
        <v>0</v>
      </c>
    </row>
    <row r="22" spans="1:154">
      <c r="A22" s="816" t="s">
        <v>1351</v>
      </c>
      <c r="B22" s="817"/>
      <c r="C22" s="817"/>
      <c r="D22" s="817"/>
      <c r="E22" s="817"/>
      <c r="F22" s="817"/>
      <c r="G22" s="817"/>
      <c r="H22" s="817"/>
      <c r="I22" s="817"/>
      <c r="J22" s="817"/>
      <c r="K22" s="817"/>
      <c r="L22" s="817"/>
      <c r="M22" s="817"/>
      <c r="N22" s="817"/>
      <c r="O22" s="817"/>
      <c r="P22" s="817"/>
      <c r="Q22" s="817"/>
      <c r="R22" s="817"/>
      <c r="S22" s="817"/>
      <c r="T22" s="817"/>
      <c r="U22" s="817"/>
      <c r="V22" s="817"/>
      <c r="W22" s="817"/>
      <c r="X22" s="817"/>
      <c r="Y22" s="817"/>
      <c r="Z22" s="817"/>
      <c r="AA22" s="817"/>
      <c r="AB22" s="817"/>
      <c r="AC22" s="817"/>
      <c r="AD22" s="817"/>
      <c r="AE22" s="817"/>
      <c r="AF22" s="817"/>
      <c r="AG22" s="817"/>
      <c r="AH22" s="817"/>
      <c r="AI22" s="817"/>
      <c r="AJ22" s="817"/>
      <c r="AK22" s="817"/>
      <c r="AL22" s="817"/>
      <c r="AM22" s="817"/>
      <c r="AN22" s="817"/>
      <c r="AO22" s="817">
        <v>2090</v>
      </c>
      <c r="AP22" s="817">
        <v>0</v>
      </c>
      <c r="AQ22" s="817">
        <v>0</v>
      </c>
      <c r="AR22" s="817"/>
      <c r="AS22" s="817"/>
      <c r="AT22" s="817"/>
      <c r="AU22" s="817"/>
      <c r="AV22" s="817"/>
      <c r="AW22" s="817"/>
      <c r="AX22" s="817"/>
      <c r="AY22" s="817"/>
      <c r="AZ22" s="817"/>
      <c r="BA22" s="817"/>
      <c r="BB22" s="817"/>
      <c r="BC22" s="817"/>
      <c r="BD22" s="817">
        <v>2176.46</v>
      </c>
      <c r="BE22" s="817">
        <v>100</v>
      </c>
      <c r="BF22" s="817">
        <v>100</v>
      </c>
      <c r="BG22" s="817"/>
      <c r="BH22" s="817"/>
      <c r="BI22" s="817"/>
      <c r="BJ22" s="817"/>
      <c r="BK22" s="817"/>
      <c r="BL22" s="817"/>
      <c r="BM22" s="817"/>
      <c r="BN22" s="817"/>
      <c r="BO22" s="817"/>
      <c r="BP22" s="817"/>
      <c r="BQ22" s="817"/>
      <c r="BR22" s="817"/>
      <c r="BS22" s="817"/>
      <c r="BT22" s="817"/>
      <c r="BU22" s="817"/>
      <c r="BV22" s="817"/>
      <c r="BW22" s="817"/>
      <c r="BX22" s="817"/>
      <c r="BY22" s="817"/>
      <c r="BZ22" s="817"/>
      <c r="CA22" s="817"/>
      <c r="CB22" s="817"/>
      <c r="CC22" s="817"/>
      <c r="CD22" s="817"/>
      <c r="CE22" s="817"/>
      <c r="CF22" s="817"/>
      <c r="CG22" s="817"/>
      <c r="CH22" s="817"/>
      <c r="CI22" s="817"/>
      <c r="CJ22" s="817"/>
      <c r="CK22" s="817"/>
      <c r="CL22" s="817"/>
      <c r="CM22" s="817"/>
      <c r="CN22" s="817"/>
      <c r="CO22" s="817"/>
      <c r="CP22" s="817"/>
      <c r="CQ22" s="817"/>
      <c r="CR22" s="817"/>
      <c r="CS22" s="817"/>
      <c r="CT22" s="817"/>
      <c r="CU22" s="817"/>
      <c r="CV22" s="817"/>
      <c r="CW22" s="817"/>
      <c r="CX22" s="817"/>
      <c r="CY22" s="817"/>
      <c r="CZ22" s="817"/>
      <c r="DA22" s="817"/>
      <c r="DB22" s="817"/>
      <c r="DC22" s="817"/>
      <c r="DD22" s="817"/>
      <c r="DE22" s="817"/>
      <c r="DF22" s="817"/>
      <c r="DG22" s="817"/>
      <c r="DH22" s="817"/>
      <c r="DI22" s="817"/>
      <c r="DJ22" s="817"/>
      <c r="DK22" s="817"/>
      <c r="DL22" s="817"/>
      <c r="DM22" s="817"/>
      <c r="DN22" s="817"/>
      <c r="DO22" s="817"/>
      <c r="DP22" s="817"/>
      <c r="DQ22" s="817"/>
      <c r="DR22" s="817"/>
      <c r="DS22" s="817"/>
      <c r="DT22" s="817"/>
      <c r="DU22" s="817"/>
      <c r="DV22" s="817"/>
      <c r="DW22" s="817"/>
      <c r="DX22" s="817"/>
      <c r="DY22" s="817"/>
      <c r="DZ22" s="817"/>
      <c r="EA22" s="817"/>
      <c r="EB22" s="817"/>
      <c r="EC22" s="817"/>
      <c r="ED22" s="817"/>
      <c r="EE22" s="817"/>
      <c r="EF22" s="817"/>
      <c r="EG22" s="817">
        <v>114.9</v>
      </c>
      <c r="EH22" s="817">
        <v>118.3</v>
      </c>
      <c r="EI22" s="817">
        <v>131.4</v>
      </c>
      <c r="EJ22" s="817"/>
      <c r="EK22" s="817"/>
      <c r="EL22" s="817"/>
      <c r="EM22" s="817"/>
      <c r="EN22" s="817"/>
      <c r="EO22" s="817"/>
      <c r="EP22" s="817"/>
      <c r="EQ22" s="817"/>
      <c r="ER22" s="817"/>
      <c r="ES22" s="817"/>
      <c r="ET22" s="817"/>
      <c r="EU22" s="817"/>
      <c r="EV22" s="818">
        <f t="shared" si="1"/>
        <v>4381.3599999999997</v>
      </c>
      <c r="EW22" s="818">
        <f t="shared" si="1"/>
        <v>218.3</v>
      </c>
      <c r="EX22" s="818">
        <f t="shared" si="1"/>
        <v>231.4</v>
      </c>
    </row>
    <row r="23" spans="1:154">
      <c r="A23" s="816" t="s">
        <v>1352</v>
      </c>
      <c r="B23" s="817"/>
      <c r="C23" s="817"/>
      <c r="D23" s="817"/>
      <c r="E23" s="817"/>
      <c r="F23" s="817"/>
      <c r="G23" s="817"/>
      <c r="H23" s="817"/>
      <c r="I23" s="817"/>
      <c r="J23" s="817"/>
      <c r="K23" s="817"/>
      <c r="L23" s="817"/>
      <c r="M23" s="817"/>
      <c r="N23" s="817"/>
      <c r="O23" s="817"/>
      <c r="P23" s="817"/>
      <c r="Q23" s="817"/>
      <c r="R23" s="817"/>
      <c r="S23" s="817"/>
      <c r="T23" s="817"/>
      <c r="U23" s="817"/>
      <c r="V23" s="817"/>
      <c r="W23" s="817"/>
      <c r="X23" s="817"/>
      <c r="Y23" s="817"/>
      <c r="Z23" s="817"/>
      <c r="AA23" s="817"/>
      <c r="AB23" s="817"/>
      <c r="AC23" s="817"/>
      <c r="AD23" s="817"/>
      <c r="AE23" s="817"/>
      <c r="AF23" s="817"/>
      <c r="AG23" s="817"/>
      <c r="AH23" s="817"/>
      <c r="AI23" s="817"/>
      <c r="AJ23" s="817"/>
      <c r="AK23" s="817"/>
      <c r="AL23" s="817"/>
      <c r="AM23" s="817"/>
      <c r="AN23" s="817"/>
      <c r="AO23" s="817"/>
      <c r="AP23" s="817"/>
      <c r="AQ23" s="817"/>
      <c r="AR23" s="817"/>
      <c r="AS23" s="817"/>
      <c r="AT23" s="817"/>
      <c r="AU23" s="817"/>
      <c r="AV23" s="817"/>
      <c r="AW23" s="817"/>
      <c r="AX23" s="817"/>
      <c r="AY23" s="817"/>
      <c r="AZ23" s="817"/>
      <c r="BA23" s="817"/>
      <c r="BB23" s="817"/>
      <c r="BC23" s="817"/>
      <c r="BD23" s="817"/>
      <c r="BE23" s="817"/>
      <c r="BF23" s="817"/>
      <c r="BG23" s="817"/>
      <c r="BH23" s="817"/>
      <c r="BI23" s="817"/>
      <c r="BJ23" s="817"/>
      <c r="BK23" s="817"/>
      <c r="BL23" s="817"/>
      <c r="BM23" s="817"/>
      <c r="BN23" s="817"/>
      <c r="BO23" s="817"/>
      <c r="BP23" s="817"/>
      <c r="BQ23" s="817"/>
      <c r="BR23" s="817"/>
      <c r="BS23" s="817"/>
      <c r="BT23" s="817"/>
      <c r="BU23" s="817"/>
      <c r="BV23" s="817"/>
      <c r="BW23" s="817"/>
      <c r="BX23" s="817"/>
      <c r="BY23" s="817"/>
      <c r="BZ23" s="817"/>
      <c r="CA23" s="817"/>
      <c r="CB23" s="817"/>
      <c r="CC23" s="817"/>
      <c r="CD23" s="817"/>
      <c r="CE23" s="817"/>
      <c r="CF23" s="817"/>
      <c r="CG23" s="817"/>
      <c r="CH23" s="817"/>
      <c r="CI23" s="817"/>
      <c r="CJ23" s="817"/>
      <c r="CK23" s="817"/>
      <c r="CL23" s="817"/>
      <c r="CM23" s="817"/>
      <c r="CN23" s="817"/>
      <c r="CO23" s="817"/>
      <c r="CP23" s="817"/>
      <c r="CQ23" s="817"/>
      <c r="CR23" s="817"/>
      <c r="CS23" s="817"/>
      <c r="CT23" s="817"/>
      <c r="CU23" s="817"/>
      <c r="CV23" s="817"/>
      <c r="CW23" s="817"/>
      <c r="CX23" s="817"/>
      <c r="CY23" s="817"/>
      <c r="CZ23" s="817"/>
      <c r="DA23" s="817"/>
      <c r="DB23" s="817"/>
      <c r="DC23" s="817"/>
      <c r="DD23" s="817"/>
      <c r="DE23" s="817"/>
      <c r="DF23" s="817"/>
      <c r="DG23" s="817"/>
      <c r="DH23" s="817"/>
      <c r="DI23" s="817"/>
      <c r="DJ23" s="817"/>
      <c r="DK23" s="817"/>
      <c r="DL23" s="817"/>
      <c r="DM23" s="817"/>
      <c r="DN23" s="817"/>
      <c r="DO23" s="817"/>
      <c r="DP23" s="817"/>
      <c r="DQ23" s="817"/>
      <c r="DR23" s="817"/>
      <c r="DS23" s="817"/>
      <c r="DT23" s="817"/>
      <c r="DU23" s="817"/>
      <c r="DV23" s="817"/>
      <c r="DW23" s="817"/>
      <c r="DX23" s="817"/>
      <c r="DY23" s="817"/>
      <c r="DZ23" s="817"/>
      <c r="EA23" s="817"/>
      <c r="EB23" s="817"/>
      <c r="EC23" s="817"/>
      <c r="ED23" s="817"/>
      <c r="EE23" s="817"/>
      <c r="EF23" s="817"/>
      <c r="EG23" s="817"/>
      <c r="EH23" s="817"/>
      <c r="EI23" s="817"/>
      <c r="EJ23" s="817"/>
      <c r="EK23" s="817"/>
      <c r="EL23" s="817"/>
      <c r="EM23" s="817"/>
      <c r="EN23" s="817"/>
      <c r="EO23" s="817"/>
      <c r="EP23" s="817"/>
      <c r="EQ23" s="817"/>
      <c r="ER23" s="817"/>
      <c r="ES23" s="817"/>
      <c r="ET23" s="817"/>
      <c r="EU23" s="817"/>
      <c r="EV23" s="818">
        <f t="shared" si="1"/>
        <v>0</v>
      </c>
      <c r="EW23" s="818">
        <f t="shared" si="1"/>
        <v>0</v>
      </c>
      <c r="EX23" s="818">
        <f t="shared" si="1"/>
        <v>0</v>
      </c>
    </row>
    <row r="24" spans="1:154">
      <c r="A24" s="816" t="s">
        <v>1353</v>
      </c>
      <c r="B24" s="817"/>
      <c r="C24" s="817"/>
      <c r="D24" s="817"/>
      <c r="E24" s="817">
        <v>78537.506999999998</v>
      </c>
      <c r="F24" s="817">
        <v>24489.65</v>
      </c>
      <c r="G24" s="817">
        <v>24489.65</v>
      </c>
      <c r="H24" s="817"/>
      <c r="I24" s="817"/>
      <c r="J24" s="817"/>
      <c r="K24" s="817"/>
      <c r="L24" s="817"/>
      <c r="M24" s="817"/>
      <c r="N24" s="817"/>
      <c r="O24" s="817"/>
      <c r="P24" s="817"/>
      <c r="Q24" s="817"/>
      <c r="R24" s="817"/>
      <c r="S24" s="817"/>
      <c r="T24" s="817"/>
      <c r="U24" s="817"/>
      <c r="V24" s="817"/>
      <c r="W24" s="817"/>
      <c r="X24" s="817"/>
      <c r="Y24" s="817"/>
      <c r="Z24" s="817"/>
      <c r="AA24" s="817"/>
      <c r="AB24" s="817"/>
      <c r="AC24" s="817"/>
      <c r="AD24" s="817"/>
      <c r="AE24" s="817"/>
      <c r="AF24" s="817"/>
      <c r="AG24" s="817"/>
      <c r="AH24" s="817"/>
      <c r="AI24" s="817"/>
      <c r="AJ24" s="817"/>
      <c r="AK24" s="817"/>
      <c r="AL24" s="817"/>
      <c r="AM24" s="817"/>
      <c r="AN24" s="817"/>
      <c r="AO24" s="817"/>
      <c r="AP24" s="817"/>
      <c r="AQ24" s="817"/>
      <c r="AR24" s="817"/>
      <c r="AS24" s="817"/>
      <c r="AT24" s="817"/>
      <c r="AU24" s="817"/>
      <c r="AV24" s="817"/>
      <c r="AW24" s="817"/>
      <c r="AX24" s="817"/>
      <c r="AY24" s="817"/>
      <c r="AZ24" s="817"/>
      <c r="BA24" s="817"/>
      <c r="BB24" s="817"/>
      <c r="BC24" s="817"/>
      <c r="BD24" s="817"/>
      <c r="BE24" s="817"/>
      <c r="BF24" s="817"/>
      <c r="BG24" s="817"/>
      <c r="BH24" s="817"/>
      <c r="BI24" s="817"/>
      <c r="BJ24" s="817"/>
      <c r="BK24" s="817"/>
      <c r="BL24" s="817"/>
      <c r="BM24" s="817"/>
      <c r="BN24" s="817"/>
      <c r="BO24" s="817"/>
      <c r="BP24" s="817"/>
      <c r="BQ24" s="817"/>
      <c r="BR24" s="817"/>
      <c r="BS24" s="817"/>
      <c r="BT24" s="817"/>
      <c r="BU24" s="817"/>
      <c r="BV24" s="817"/>
      <c r="BW24" s="817"/>
      <c r="BX24" s="817"/>
      <c r="BY24" s="817"/>
      <c r="BZ24" s="817"/>
      <c r="CA24" s="817"/>
      <c r="CB24" s="817"/>
      <c r="CC24" s="817"/>
      <c r="CD24" s="817"/>
      <c r="CE24" s="817"/>
      <c r="CF24" s="817"/>
      <c r="CG24" s="817"/>
      <c r="CH24" s="817"/>
      <c r="CI24" s="817"/>
      <c r="CJ24" s="817"/>
      <c r="CK24" s="817"/>
      <c r="CL24" s="817"/>
      <c r="CM24" s="817"/>
      <c r="CN24" s="817"/>
      <c r="CO24" s="817"/>
      <c r="CP24" s="817"/>
      <c r="CQ24" s="817"/>
      <c r="CR24" s="817"/>
      <c r="CS24" s="817"/>
      <c r="CT24" s="817"/>
      <c r="CU24" s="817"/>
      <c r="CV24" s="817"/>
      <c r="CW24" s="817"/>
      <c r="CX24" s="817"/>
      <c r="CY24" s="817"/>
      <c r="CZ24" s="817"/>
      <c r="DA24" s="817"/>
      <c r="DB24" s="817"/>
      <c r="DC24" s="817"/>
      <c r="DD24" s="817"/>
      <c r="DE24" s="817"/>
      <c r="DF24" s="817"/>
      <c r="DG24" s="817"/>
      <c r="DH24" s="817"/>
      <c r="DI24" s="817"/>
      <c r="DJ24" s="817"/>
      <c r="DK24" s="817"/>
      <c r="DL24" s="817"/>
      <c r="DM24" s="817"/>
      <c r="DN24" s="817"/>
      <c r="DO24" s="817"/>
      <c r="DP24" s="817"/>
      <c r="DQ24" s="817"/>
      <c r="DR24" s="817"/>
      <c r="DS24" s="817"/>
      <c r="DT24" s="817"/>
      <c r="DU24" s="817"/>
      <c r="DV24" s="817"/>
      <c r="DW24" s="817"/>
      <c r="DX24" s="817"/>
      <c r="DY24" s="817"/>
      <c r="DZ24" s="817"/>
      <c r="EA24" s="817"/>
      <c r="EB24" s="817"/>
      <c r="EC24" s="817"/>
      <c r="ED24" s="817"/>
      <c r="EE24" s="817"/>
      <c r="EF24" s="817"/>
      <c r="EG24" s="817"/>
      <c r="EH24" s="817"/>
      <c r="EI24" s="817"/>
      <c r="EJ24" s="817"/>
      <c r="EK24" s="817"/>
      <c r="EL24" s="817"/>
      <c r="EM24" s="817"/>
      <c r="EN24" s="817"/>
      <c r="EO24" s="817"/>
      <c r="EP24" s="817"/>
      <c r="EQ24" s="817"/>
      <c r="ER24" s="817"/>
      <c r="ES24" s="817"/>
      <c r="ET24" s="817"/>
      <c r="EU24" s="817"/>
      <c r="EV24" s="818">
        <f t="shared" si="1"/>
        <v>78537.506999999998</v>
      </c>
      <c r="EW24" s="818">
        <f t="shared" si="1"/>
        <v>24489.65</v>
      </c>
      <c r="EX24" s="818">
        <f t="shared" si="1"/>
        <v>24489.65</v>
      </c>
    </row>
    <row r="25" spans="1:154">
      <c r="A25" s="816" t="s">
        <v>1354</v>
      </c>
      <c r="B25" s="817"/>
      <c r="C25" s="817"/>
      <c r="D25" s="817"/>
      <c r="E25" s="817"/>
      <c r="F25" s="817"/>
      <c r="G25" s="817"/>
      <c r="H25" s="817"/>
      <c r="I25" s="817"/>
      <c r="J25" s="817"/>
      <c r="K25" s="817"/>
      <c r="L25" s="817"/>
      <c r="M25" s="817"/>
      <c r="N25" s="817"/>
      <c r="O25" s="817"/>
      <c r="P25" s="817"/>
      <c r="Q25" s="817"/>
      <c r="R25" s="817"/>
      <c r="S25" s="817"/>
      <c r="T25" s="817"/>
      <c r="U25" s="817"/>
      <c r="V25" s="817"/>
      <c r="W25" s="817"/>
      <c r="X25" s="817"/>
      <c r="Y25" s="817"/>
      <c r="Z25" s="817"/>
      <c r="AA25" s="817"/>
      <c r="AB25" s="817"/>
      <c r="AC25" s="817"/>
      <c r="AD25" s="817"/>
      <c r="AE25" s="817"/>
      <c r="AF25" s="817"/>
      <c r="AG25" s="817"/>
      <c r="AH25" s="817"/>
      <c r="AI25" s="817"/>
      <c r="AJ25" s="817"/>
      <c r="AK25" s="817"/>
      <c r="AL25" s="817">
        <f>3517.006+922.894</f>
        <v>4439.8999999999996</v>
      </c>
      <c r="AM25" s="817">
        <v>1818.8</v>
      </c>
      <c r="AN25" s="817">
        <v>1210</v>
      </c>
      <c r="AO25" s="817"/>
      <c r="AP25" s="817"/>
      <c r="AQ25" s="817"/>
      <c r="AR25" s="817"/>
      <c r="AS25" s="817"/>
      <c r="AT25" s="817"/>
      <c r="AU25" s="817"/>
      <c r="AV25" s="817"/>
      <c r="AW25" s="817"/>
      <c r="AX25" s="817"/>
      <c r="AY25" s="817"/>
      <c r="AZ25" s="817"/>
      <c r="BA25" s="817"/>
      <c r="BB25" s="817"/>
      <c r="BC25" s="817"/>
      <c r="BD25" s="817"/>
      <c r="BE25" s="817"/>
      <c r="BF25" s="817"/>
      <c r="BG25" s="817"/>
      <c r="BH25" s="817"/>
      <c r="BI25" s="817"/>
      <c r="BJ25" s="817"/>
      <c r="BK25" s="817"/>
      <c r="BL25" s="817"/>
      <c r="BM25" s="817"/>
      <c r="BN25" s="817"/>
      <c r="BO25" s="817"/>
      <c r="BP25" s="817"/>
      <c r="BQ25" s="817"/>
      <c r="BR25" s="817"/>
      <c r="BS25" s="817"/>
      <c r="BT25" s="817"/>
      <c r="BU25" s="817"/>
      <c r="BV25" s="817"/>
      <c r="BW25" s="817"/>
      <c r="BX25" s="817"/>
      <c r="BY25" s="817"/>
      <c r="BZ25" s="817"/>
      <c r="CA25" s="817"/>
      <c r="CB25" s="817">
        <v>977.86199999999997</v>
      </c>
      <c r="CC25" s="817">
        <v>0</v>
      </c>
      <c r="CD25" s="817">
        <v>0</v>
      </c>
      <c r="CE25" s="817"/>
      <c r="CF25" s="817"/>
      <c r="CG25" s="817"/>
      <c r="CH25" s="817"/>
      <c r="CI25" s="817"/>
      <c r="CJ25" s="817"/>
      <c r="CK25" s="817"/>
      <c r="CL25" s="817"/>
      <c r="CM25" s="817"/>
      <c r="CN25" s="817"/>
      <c r="CO25" s="817"/>
      <c r="CP25" s="817"/>
      <c r="CQ25" s="817"/>
      <c r="CR25" s="817"/>
      <c r="CS25" s="817"/>
      <c r="CT25" s="817"/>
      <c r="CU25" s="817"/>
      <c r="CV25" s="817"/>
      <c r="CW25" s="817"/>
      <c r="CX25" s="817"/>
      <c r="CY25" s="817"/>
      <c r="CZ25" s="817"/>
      <c r="DA25" s="817"/>
      <c r="DB25" s="817"/>
      <c r="DC25" s="817"/>
      <c r="DD25" s="817"/>
      <c r="DE25" s="817"/>
      <c r="DF25" s="817"/>
      <c r="DG25" s="817"/>
      <c r="DH25" s="817"/>
      <c r="DI25" s="817"/>
      <c r="DJ25" s="817"/>
      <c r="DK25" s="817"/>
      <c r="DL25" s="817"/>
      <c r="DM25" s="817"/>
      <c r="DN25" s="817"/>
      <c r="DO25" s="817"/>
      <c r="DP25" s="817"/>
      <c r="DQ25" s="817"/>
      <c r="DR25" s="817"/>
      <c r="DS25" s="817"/>
      <c r="DT25" s="817"/>
      <c r="DU25" s="817"/>
      <c r="DV25" s="817"/>
      <c r="DW25" s="817"/>
      <c r="DX25" s="817"/>
      <c r="DY25" s="817"/>
      <c r="DZ25" s="817"/>
      <c r="EA25" s="817"/>
      <c r="EB25" s="817"/>
      <c r="EC25" s="817"/>
      <c r="ED25" s="817"/>
      <c r="EE25" s="817"/>
      <c r="EF25" s="817"/>
      <c r="EG25" s="817"/>
      <c r="EH25" s="817"/>
      <c r="EI25" s="817"/>
      <c r="EJ25" s="817"/>
      <c r="EK25" s="817"/>
      <c r="EL25" s="817"/>
      <c r="EM25" s="817"/>
      <c r="EN25" s="817"/>
      <c r="EO25" s="817"/>
      <c r="EP25" s="817"/>
      <c r="EQ25" s="817"/>
      <c r="ER25" s="817"/>
      <c r="ES25" s="817"/>
      <c r="ET25" s="817"/>
      <c r="EU25" s="817"/>
      <c r="EV25" s="818">
        <f t="shared" si="1"/>
        <v>5417.7619999999997</v>
      </c>
      <c r="EW25" s="818">
        <f t="shared" si="1"/>
        <v>1818.8</v>
      </c>
      <c r="EX25" s="818">
        <f t="shared" si="1"/>
        <v>1210</v>
      </c>
    </row>
    <row r="26" spans="1:154">
      <c r="A26" s="816" t="s">
        <v>1355</v>
      </c>
      <c r="B26" s="817"/>
      <c r="C26" s="817"/>
      <c r="D26" s="817"/>
      <c r="E26" s="817"/>
      <c r="F26" s="817"/>
      <c r="G26" s="817"/>
      <c r="H26" s="817"/>
      <c r="I26" s="817"/>
      <c r="J26" s="817"/>
      <c r="K26" s="817"/>
      <c r="L26" s="817"/>
      <c r="M26" s="817"/>
      <c r="N26" s="817"/>
      <c r="O26" s="817"/>
      <c r="P26" s="817"/>
      <c r="Q26" s="817"/>
      <c r="R26" s="817"/>
      <c r="S26" s="817"/>
      <c r="T26" s="817"/>
      <c r="U26" s="817"/>
      <c r="V26" s="817"/>
      <c r="W26" s="817"/>
      <c r="X26" s="817"/>
      <c r="Y26" s="817"/>
      <c r="Z26" s="817"/>
      <c r="AA26" s="817"/>
      <c r="AB26" s="817"/>
      <c r="AC26" s="817"/>
      <c r="AD26" s="817"/>
      <c r="AE26" s="817"/>
      <c r="AF26" s="817"/>
      <c r="AG26" s="817"/>
      <c r="AH26" s="817"/>
      <c r="AI26" s="817"/>
      <c r="AJ26" s="817"/>
      <c r="AK26" s="817"/>
      <c r="AL26" s="817"/>
      <c r="AM26" s="817"/>
      <c r="AN26" s="817"/>
      <c r="AO26" s="817"/>
      <c r="AP26" s="817"/>
      <c r="AQ26" s="817"/>
      <c r="AR26" s="817"/>
      <c r="AS26" s="817"/>
      <c r="AT26" s="817"/>
      <c r="AU26" s="817"/>
      <c r="AV26" s="817"/>
      <c r="AW26" s="817"/>
      <c r="AX26" s="817"/>
      <c r="AY26" s="817"/>
      <c r="AZ26" s="817"/>
      <c r="BA26" s="817"/>
      <c r="BB26" s="817"/>
      <c r="BC26" s="817"/>
      <c r="BD26" s="817"/>
      <c r="BE26" s="817"/>
      <c r="BF26" s="817"/>
      <c r="BG26" s="817"/>
      <c r="BH26" s="817"/>
      <c r="BI26" s="817"/>
      <c r="BJ26" s="817"/>
      <c r="BK26" s="817"/>
      <c r="BL26" s="817"/>
      <c r="BM26" s="817"/>
      <c r="BN26" s="817"/>
      <c r="BO26" s="817"/>
      <c r="BP26" s="817"/>
      <c r="BQ26" s="817"/>
      <c r="BR26" s="817"/>
      <c r="BS26" s="817"/>
      <c r="BT26" s="817"/>
      <c r="BU26" s="817"/>
      <c r="BV26" s="817"/>
      <c r="BW26" s="817"/>
      <c r="BX26" s="817"/>
      <c r="BY26" s="817"/>
      <c r="BZ26" s="817"/>
      <c r="CA26" s="817"/>
      <c r="CB26" s="817"/>
      <c r="CC26" s="817"/>
      <c r="CD26" s="817"/>
      <c r="CE26" s="817"/>
      <c r="CF26" s="817"/>
      <c r="CG26" s="817"/>
      <c r="CH26" s="817"/>
      <c r="CI26" s="817"/>
      <c r="CJ26" s="817"/>
      <c r="CK26" s="817"/>
      <c r="CL26" s="817"/>
      <c r="CM26" s="817"/>
      <c r="CN26" s="817"/>
      <c r="CO26" s="817"/>
      <c r="CP26" s="817"/>
      <c r="CQ26" s="817"/>
      <c r="CR26" s="817"/>
      <c r="CS26" s="817"/>
      <c r="CT26" s="817"/>
      <c r="CU26" s="817"/>
      <c r="CV26" s="817"/>
      <c r="CW26" s="817"/>
      <c r="CX26" s="817"/>
      <c r="CY26" s="817"/>
      <c r="CZ26" s="817"/>
      <c r="DA26" s="817"/>
      <c r="DB26" s="817"/>
      <c r="DC26" s="817"/>
      <c r="DD26" s="817"/>
      <c r="DE26" s="817"/>
      <c r="DF26" s="817"/>
      <c r="DG26" s="817"/>
      <c r="DH26" s="817"/>
      <c r="DI26" s="817"/>
      <c r="DJ26" s="817"/>
      <c r="DK26" s="817"/>
      <c r="DL26" s="817"/>
      <c r="DM26" s="817"/>
      <c r="DN26" s="817"/>
      <c r="DO26" s="817">
        <v>10</v>
      </c>
      <c r="DP26" s="817">
        <v>0</v>
      </c>
      <c r="DQ26" s="817">
        <v>0</v>
      </c>
      <c r="DR26" s="817"/>
      <c r="DS26" s="817"/>
      <c r="DT26" s="817"/>
      <c r="DU26" s="817"/>
      <c r="DV26" s="817"/>
      <c r="DW26" s="817"/>
      <c r="DX26" s="817"/>
      <c r="DY26" s="817"/>
      <c r="DZ26" s="817"/>
      <c r="EA26" s="817"/>
      <c r="EB26" s="817"/>
      <c r="EC26" s="817"/>
      <c r="ED26" s="817"/>
      <c r="EE26" s="817"/>
      <c r="EF26" s="817"/>
      <c r="EG26" s="817"/>
      <c r="EH26" s="817"/>
      <c r="EI26" s="817"/>
      <c r="EJ26" s="817"/>
      <c r="EK26" s="817"/>
      <c r="EL26" s="817"/>
      <c r="EM26" s="817"/>
      <c r="EN26" s="817"/>
      <c r="EO26" s="817"/>
      <c r="EP26" s="817"/>
      <c r="EQ26" s="817"/>
      <c r="ER26" s="817"/>
      <c r="ES26" s="817"/>
      <c r="ET26" s="817"/>
      <c r="EU26" s="817"/>
      <c r="EV26" s="818">
        <f t="shared" si="1"/>
        <v>10</v>
      </c>
      <c r="EW26" s="818">
        <f t="shared" si="1"/>
        <v>0</v>
      </c>
      <c r="EX26" s="818">
        <f t="shared" si="1"/>
        <v>0</v>
      </c>
    </row>
    <row r="27" spans="1:154">
      <c r="A27" s="816" t="s">
        <v>1356</v>
      </c>
      <c r="B27" s="817"/>
      <c r="C27" s="817"/>
      <c r="D27" s="817"/>
      <c r="E27" s="817"/>
      <c r="F27" s="817"/>
      <c r="G27" s="817"/>
      <c r="H27" s="817"/>
      <c r="I27" s="817"/>
      <c r="J27" s="817"/>
      <c r="K27" s="817"/>
      <c r="L27" s="817"/>
      <c r="M27" s="817"/>
      <c r="N27" s="817"/>
      <c r="O27" s="817"/>
      <c r="P27" s="817"/>
      <c r="Q27" s="817"/>
      <c r="R27" s="817"/>
      <c r="S27" s="817"/>
      <c r="T27" s="817">
        <f>162579.3-1375.2</f>
        <v>161204.09999999998</v>
      </c>
      <c r="U27" s="817">
        <f>109872.3-1375.2</f>
        <v>108497.1</v>
      </c>
      <c r="V27" s="817">
        <f>111247.9-1375.2</f>
        <v>109872.7</v>
      </c>
      <c r="W27" s="817"/>
      <c r="X27" s="817"/>
      <c r="Y27" s="817"/>
      <c r="Z27" s="817"/>
      <c r="AA27" s="817"/>
      <c r="AB27" s="817"/>
      <c r="AC27" s="817"/>
      <c r="AD27" s="817"/>
      <c r="AE27" s="817"/>
      <c r="AF27" s="817"/>
      <c r="AG27" s="817"/>
      <c r="AH27" s="817"/>
      <c r="AI27" s="817"/>
      <c r="AJ27" s="817"/>
      <c r="AK27" s="817"/>
      <c r="AL27" s="817"/>
      <c r="AM27" s="817"/>
      <c r="AN27" s="817"/>
      <c r="AO27" s="817"/>
      <c r="AP27" s="817"/>
      <c r="AQ27" s="817"/>
      <c r="AR27" s="817"/>
      <c r="AS27" s="817"/>
      <c r="AT27" s="817"/>
      <c r="AU27" s="817"/>
      <c r="AV27" s="817"/>
      <c r="AW27" s="817"/>
      <c r="AX27" s="817"/>
      <c r="AY27" s="817"/>
      <c r="AZ27" s="817"/>
      <c r="BA27" s="817"/>
      <c r="BB27" s="817"/>
      <c r="BC27" s="817"/>
      <c r="BD27" s="817"/>
      <c r="BE27" s="817"/>
      <c r="BF27" s="817"/>
      <c r="BG27" s="817"/>
      <c r="BH27" s="817"/>
      <c r="BI27" s="817"/>
      <c r="BJ27" s="817"/>
      <c r="BK27" s="817"/>
      <c r="BL27" s="817"/>
      <c r="BM27" s="817"/>
      <c r="BN27" s="817"/>
      <c r="BO27" s="817"/>
      <c r="BP27" s="817"/>
      <c r="BQ27" s="817"/>
      <c r="BR27" s="817"/>
      <c r="BS27" s="817"/>
      <c r="BT27" s="817"/>
      <c r="BU27" s="817"/>
      <c r="BV27" s="817"/>
      <c r="BW27" s="817"/>
      <c r="BX27" s="817"/>
      <c r="BY27" s="817"/>
      <c r="BZ27" s="817"/>
      <c r="CA27" s="817"/>
      <c r="CB27" s="817"/>
      <c r="CC27" s="817"/>
      <c r="CD27" s="817"/>
      <c r="CE27" s="817"/>
      <c r="CF27" s="817"/>
      <c r="CG27" s="817"/>
      <c r="CH27" s="817"/>
      <c r="CI27" s="817"/>
      <c r="CJ27" s="817"/>
      <c r="CK27" s="817"/>
      <c r="CL27" s="817"/>
      <c r="CM27" s="817"/>
      <c r="CN27" s="817"/>
      <c r="CO27" s="817"/>
      <c r="CP27" s="817"/>
      <c r="CQ27" s="817"/>
      <c r="CR27" s="817"/>
      <c r="CS27" s="817"/>
      <c r="CT27" s="817"/>
      <c r="CU27" s="817"/>
      <c r="CV27" s="817"/>
      <c r="CW27" s="817"/>
      <c r="CX27" s="817"/>
      <c r="CY27" s="817"/>
      <c r="CZ27" s="817"/>
      <c r="DA27" s="817"/>
      <c r="DB27" s="817"/>
      <c r="DC27" s="817"/>
      <c r="DD27" s="817"/>
      <c r="DE27" s="817"/>
      <c r="DF27" s="817"/>
      <c r="DG27" s="817"/>
      <c r="DH27" s="817"/>
      <c r="DI27" s="817"/>
      <c r="DJ27" s="817"/>
      <c r="DK27" s="817"/>
      <c r="DL27" s="817"/>
      <c r="DM27" s="817"/>
      <c r="DN27" s="817"/>
      <c r="DO27" s="817"/>
      <c r="DP27" s="817"/>
      <c r="DQ27" s="817"/>
      <c r="DR27" s="817">
        <v>1375.2</v>
      </c>
      <c r="DS27" s="817">
        <v>1375.2</v>
      </c>
      <c r="DT27" s="817">
        <v>1375.2</v>
      </c>
      <c r="DU27" s="817"/>
      <c r="DV27" s="817"/>
      <c r="DW27" s="817"/>
      <c r="DX27" s="817"/>
      <c r="DY27" s="817"/>
      <c r="DZ27" s="817"/>
      <c r="EA27" s="817"/>
      <c r="EB27" s="817"/>
      <c r="EC27" s="817"/>
      <c r="ED27" s="817"/>
      <c r="EE27" s="817"/>
      <c r="EF27" s="817"/>
      <c r="EG27" s="817"/>
      <c r="EH27" s="817"/>
      <c r="EI27" s="817"/>
      <c r="EJ27" s="817"/>
      <c r="EK27" s="817"/>
      <c r="EL27" s="817"/>
      <c r="EM27" s="817"/>
      <c r="EN27" s="817"/>
      <c r="EO27" s="817"/>
      <c r="EP27" s="817"/>
      <c r="EQ27" s="817"/>
      <c r="ER27" s="817"/>
      <c r="ES27" s="817"/>
      <c r="ET27" s="817"/>
      <c r="EU27" s="817"/>
      <c r="EV27" s="818">
        <f t="shared" si="1"/>
        <v>162579.29999999999</v>
      </c>
      <c r="EW27" s="818">
        <f t="shared" si="1"/>
        <v>109872.3</v>
      </c>
      <c r="EX27" s="818">
        <f t="shared" si="1"/>
        <v>111247.9</v>
      </c>
    </row>
    <row r="28" spans="1:154">
      <c r="A28" s="816" t="s">
        <v>1357</v>
      </c>
      <c r="B28" s="817"/>
      <c r="C28" s="817"/>
      <c r="D28" s="817"/>
      <c r="E28" s="817"/>
      <c r="F28" s="817"/>
      <c r="G28" s="817"/>
      <c r="H28" s="817"/>
      <c r="I28" s="817"/>
      <c r="J28" s="817"/>
      <c r="K28" s="817"/>
      <c r="L28" s="817"/>
      <c r="M28" s="817"/>
      <c r="N28" s="817"/>
      <c r="O28" s="817"/>
      <c r="P28" s="817"/>
      <c r="Q28" s="817"/>
      <c r="R28" s="817"/>
      <c r="S28" s="817"/>
      <c r="T28" s="817">
        <v>17632.5</v>
      </c>
      <c r="U28" s="817">
        <v>17959.3</v>
      </c>
      <c r="V28" s="817">
        <v>18134.900000000001</v>
      </c>
      <c r="W28" s="817">
        <v>97062.991999999998</v>
      </c>
      <c r="X28" s="817">
        <v>92194.900999999998</v>
      </c>
      <c r="Y28" s="817">
        <v>74643.555999999997</v>
      </c>
      <c r="Z28" s="817">
        <f>181912.286+50033.2229999999</f>
        <v>231945.50899999999</v>
      </c>
      <c r="AA28" s="817">
        <v>255723.46</v>
      </c>
      <c r="AB28" s="817">
        <v>87033.845000000001</v>
      </c>
      <c r="AC28" s="817"/>
      <c r="AD28" s="817"/>
      <c r="AE28" s="817"/>
      <c r="AF28" s="817"/>
      <c r="AG28" s="817"/>
      <c r="AH28" s="817"/>
      <c r="AI28" s="817"/>
      <c r="AJ28" s="817"/>
      <c r="AK28" s="817"/>
      <c r="AL28" s="817"/>
      <c r="AM28" s="817"/>
      <c r="AN28" s="817"/>
      <c r="AO28" s="817"/>
      <c r="AP28" s="817"/>
      <c r="AQ28" s="817"/>
      <c r="AR28" s="817"/>
      <c r="AS28" s="817"/>
      <c r="AT28" s="817"/>
      <c r="AU28" s="817"/>
      <c r="AV28" s="817"/>
      <c r="AW28" s="817"/>
      <c r="AX28" s="817"/>
      <c r="AY28" s="817"/>
      <c r="AZ28" s="817"/>
      <c r="BA28" s="817"/>
      <c r="BB28" s="817"/>
      <c r="BC28" s="817"/>
      <c r="BD28" s="817"/>
      <c r="BE28" s="817"/>
      <c r="BF28" s="817"/>
      <c r="BG28" s="817"/>
      <c r="BH28" s="817"/>
      <c r="BI28" s="817"/>
      <c r="BJ28" s="817"/>
      <c r="BK28" s="817"/>
      <c r="BL28" s="817"/>
      <c r="BM28" s="817"/>
      <c r="BN28" s="817"/>
      <c r="BO28" s="817"/>
      <c r="BP28" s="817"/>
      <c r="BQ28" s="817"/>
      <c r="BR28" s="817"/>
      <c r="BS28" s="817"/>
      <c r="BT28" s="817"/>
      <c r="BU28" s="817"/>
      <c r="BV28" s="817"/>
      <c r="BW28" s="817"/>
      <c r="BX28" s="817"/>
      <c r="BY28" s="817"/>
      <c r="BZ28" s="817"/>
      <c r="CA28" s="817"/>
      <c r="CB28" s="817"/>
      <c r="CC28" s="817"/>
      <c r="CD28" s="817"/>
      <c r="CE28" s="817"/>
      <c r="CF28" s="817"/>
      <c r="CG28" s="817"/>
      <c r="CH28" s="817"/>
      <c r="CI28" s="817"/>
      <c r="CJ28" s="817"/>
      <c r="CK28" s="817"/>
      <c r="CL28" s="817"/>
      <c r="CM28" s="817"/>
      <c r="CN28" s="817"/>
      <c r="CO28" s="817"/>
      <c r="CP28" s="817"/>
      <c r="CQ28" s="817"/>
      <c r="CR28" s="817"/>
      <c r="CS28" s="817"/>
      <c r="CT28" s="817"/>
      <c r="CU28" s="817"/>
      <c r="CV28" s="817"/>
      <c r="CW28" s="817"/>
      <c r="CX28" s="817"/>
      <c r="CY28" s="817"/>
      <c r="CZ28" s="817"/>
      <c r="DA28" s="817"/>
      <c r="DB28" s="817"/>
      <c r="DC28" s="817"/>
      <c r="DD28" s="817"/>
      <c r="DE28" s="817"/>
      <c r="DF28" s="817"/>
      <c r="DG28" s="817"/>
      <c r="DH28" s="817"/>
      <c r="DI28" s="817"/>
      <c r="DJ28" s="817"/>
      <c r="DK28" s="817"/>
      <c r="DL28" s="817"/>
      <c r="DM28" s="817"/>
      <c r="DN28" s="817"/>
      <c r="DO28" s="817"/>
      <c r="DP28" s="817"/>
      <c r="DQ28" s="817"/>
      <c r="DR28" s="817">
        <v>3449.7</v>
      </c>
      <c r="DS28" s="817">
        <v>3282.3270000000002</v>
      </c>
      <c r="DT28" s="817">
        <v>3488.1</v>
      </c>
      <c r="DU28" s="817">
        <v>25444</v>
      </c>
      <c r="DV28" s="817">
        <v>24753</v>
      </c>
      <c r="DW28" s="817">
        <v>24347</v>
      </c>
      <c r="DX28" s="817"/>
      <c r="DY28" s="817"/>
      <c r="DZ28" s="817"/>
      <c r="EA28" s="817"/>
      <c r="EB28" s="817"/>
      <c r="EC28" s="817"/>
      <c r="ED28" s="817"/>
      <c r="EE28" s="817"/>
      <c r="EF28" s="817"/>
      <c r="EG28" s="817"/>
      <c r="EH28" s="817"/>
      <c r="EI28" s="817"/>
      <c r="EJ28" s="817"/>
      <c r="EK28" s="817"/>
      <c r="EL28" s="817"/>
      <c r="EM28" s="817"/>
      <c r="EN28" s="817"/>
      <c r="EO28" s="817"/>
      <c r="EP28" s="817"/>
      <c r="EQ28" s="817"/>
      <c r="ER28" s="817"/>
      <c r="ES28" s="817"/>
      <c r="ET28" s="817"/>
      <c r="EU28" s="817"/>
      <c r="EV28" s="818">
        <f t="shared" si="1"/>
        <v>375534.701</v>
      </c>
      <c r="EW28" s="818">
        <f t="shared" si="1"/>
        <v>393912.98799999995</v>
      </c>
      <c r="EX28" s="818">
        <f t="shared" si="1"/>
        <v>207647.40100000001</v>
      </c>
    </row>
    <row r="29" spans="1:154">
      <c r="A29" s="816" t="s">
        <v>1358</v>
      </c>
      <c r="B29" s="817"/>
      <c r="C29" s="817"/>
      <c r="D29" s="817"/>
      <c r="E29" s="817"/>
      <c r="F29" s="817"/>
      <c r="G29" s="817"/>
      <c r="H29" s="817"/>
      <c r="I29" s="817"/>
      <c r="J29" s="817"/>
      <c r="K29" s="817"/>
      <c r="L29" s="817"/>
      <c r="M29" s="817"/>
      <c r="N29" s="817"/>
      <c r="O29" s="817"/>
      <c r="P29" s="817"/>
      <c r="Q29" s="817"/>
      <c r="R29" s="817"/>
      <c r="S29" s="817"/>
      <c r="T29" s="817"/>
      <c r="U29" s="817"/>
      <c r="V29" s="817"/>
      <c r="W29" s="817"/>
      <c r="X29" s="817"/>
      <c r="Y29" s="817"/>
      <c r="Z29" s="817"/>
      <c r="AA29" s="817"/>
      <c r="AB29" s="817"/>
      <c r="AC29" s="817">
        <f>117536.034-768.3-360</f>
        <v>116407.734</v>
      </c>
      <c r="AD29" s="817">
        <f>50811.2-768.3-360</f>
        <v>49682.899999999994</v>
      </c>
      <c r="AE29" s="817">
        <f>51029.2-768.3-360</f>
        <v>49900.899999999994</v>
      </c>
      <c r="AF29" s="817"/>
      <c r="AG29" s="817"/>
      <c r="AH29" s="817"/>
      <c r="AI29" s="817">
        <v>768.3</v>
      </c>
      <c r="AJ29" s="817">
        <v>768.3</v>
      </c>
      <c r="AK29" s="817">
        <v>768.3</v>
      </c>
      <c r="AL29" s="817"/>
      <c r="AM29" s="817"/>
      <c r="AN29" s="817"/>
      <c r="AO29" s="817"/>
      <c r="AP29" s="817"/>
      <c r="AQ29" s="817"/>
      <c r="AR29" s="817"/>
      <c r="AS29" s="817"/>
      <c r="AT29" s="817"/>
      <c r="AU29" s="817"/>
      <c r="AV29" s="817"/>
      <c r="AW29" s="817"/>
      <c r="AX29" s="817"/>
      <c r="AY29" s="817"/>
      <c r="AZ29" s="817"/>
      <c r="BA29" s="817"/>
      <c r="BB29" s="817"/>
      <c r="BC29" s="817"/>
      <c r="BD29" s="817"/>
      <c r="BE29" s="817"/>
      <c r="BF29" s="817"/>
      <c r="BG29" s="817"/>
      <c r="BH29" s="817"/>
      <c r="BI29" s="817"/>
      <c r="BJ29" s="817"/>
      <c r="BK29" s="817"/>
      <c r="BL29" s="817"/>
      <c r="BM29" s="817"/>
      <c r="BN29" s="817"/>
      <c r="BO29" s="817"/>
      <c r="BP29" s="817"/>
      <c r="BQ29" s="817"/>
      <c r="BR29" s="817"/>
      <c r="BS29" s="817"/>
      <c r="BT29" s="817"/>
      <c r="BU29" s="817"/>
      <c r="BV29" s="817"/>
      <c r="BW29" s="817"/>
      <c r="BX29" s="817"/>
      <c r="BY29" s="817"/>
      <c r="BZ29" s="817"/>
      <c r="CA29" s="817"/>
      <c r="CB29" s="817"/>
      <c r="CC29" s="817"/>
      <c r="CD29" s="817"/>
      <c r="CE29" s="817"/>
      <c r="CF29" s="817"/>
      <c r="CG29" s="817"/>
      <c r="CH29" s="817"/>
      <c r="CI29" s="817"/>
      <c r="CJ29" s="817"/>
      <c r="CK29" s="817"/>
      <c r="CL29" s="817"/>
      <c r="CM29" s="817"/>
      <c r="CN29" s="817"/>
      <c r="CO29" s="817"/>
      <c r="CP29" s="817"/>
      <c r="CQ29" s="817"/>
      <c r="CR29" s="817"/>
      <c r="CS29" s="817"/>
      <c r="CT29" s="817"/>
      <c r="CU29" s="817"/>
      <c r="CV29" s="817"/>
      <c r="CW29" s="817"/>
      <c r="CX29" s="817"/>
      <c r="CY29" s="817"/>
      <c r="CZ29" s="817"/>
      <c r="DA29" s="817"/>
      <c r="DB29" s="817"/>
      <c r="DC29" s="817"/>
      <c r="DD29" s="817"/>
      <c r="DE29" s="817"/>
      <c r="DF29" s="817"/>
      <c r="DG29" s="817"/>
      <c r="DH29" s="817"/>
      <c r="DI29" s="817"/>
      <c r="DJ29" s="817"/>
      <c r="DK29" s="817"/>
      <c r="DL29" s="817"/>
      <c r="DM29" s="817"/>
      <c r="DN29" s="817"/>
      <c r="DO29" s="817"/>
      <c r="DP29" s="817"/>
      <c r="DQ29" s="817"/>
      <c r="DR29" s="817">
        <v>360</v>
      </c>
      <c r="DS29" s="817">
        <v>360</v>
      </c>
      <c r="DT29" s="817">
        <v>360</v>
      </c>
      <c r="DU29" s="817"/>
      <c r="DV29" s="817"/>
      <c r="DW29" s="817"/>
      <c r="DX29" s="817"/>
      <c r="DY29" s="817"/>
      <c r="DZ29" s="817"/>
      <c r="EA29" s="817"/>
      <c r="EB29" s="817"/>
      <c r="EC29" s="817"/>
      <c r="ED29" s="817"/>
      <c r="EE29" s="817"/>
      <c r="EF29" s="817"/>
      <c r="EG29" s="817"/>
      <c r="EH29" s="817"/>
      <c r="EI29" s="817"/>
      <c r="EJ29" s="817"/>
      <c r="EK29" s="817"/>
      <c r="EL29" s="817"/>
      <c r="EM29" s="817"/>
      <c r="EN29" s="817"/>
      <c r="EO29" s="817"/>
      <c r="EP29" s="817"/>
      <c r="EQ29" s="817"/>
      <c r="ER29" s="817"/>
      <c r="ES29" s="817"/>
      <c r="ET29" s="817"/>
      <c r="EU29" s="817"/>
      <c r="EV29" s="818">
        <f t="shared" si="1"/>
        <v>117536.034</v>
      </c>
      <c r="EW29" s="818">
        <f t="shared" si="1"/>
        <v>50811.199999999997</v>
      </c>
      <c r="EX29" s="818">
        <f t="shared" si="1"/>
        <v>51029.2</v>
      </c>
    </row>
    <row r="30" spans="1:154">
      <c r="A30" s="816" t="s">
        <v>1359</v>
      </c>
      <c r="B30" s="817"/>
      <c r="C30" s="817"/>
      <c r="D30" s="817"/>
      <c r="E30" s="817"/>
      <c r="F30" s="817"/>
      <c r="G30" s="817"/>
      <c r="H30" s="817"/>
      <c r="I30" s="817"/>
      <c r="J30" s="817"/>
      <c r="K30" s="817"/>
      <c r="L30" s="817"/>
      <c r="M30" s="817"/>
      <c r="N30" s="817"/>
      <c r="O30" s="817"/>
      <c r="P30" s="817"/>
      <c r="Q30" s="817"/>
      <c r="R30" s="817"/>
      <c r="S30" s="817"/>
      <c r="T30" s="817"/>
      <c r="U30" s="817"/>
      <c r="V30" s="817"/>
      <c r="W30" s="817"/>
      <c r="X30" s="817"/>
      <c r="Y30" s="817"/>
      <c r="Z30" s="817"/>
      <c r="AA30" s="817"/>
      <c r="AB30" s="817"/>
      <c r="AC30" s="817"/>
      <c r="AD30" s="817"/>
      <c r="AE30" s="817"/>
      <c r="AF30" s="817"/>
      <c r="AG30" s="817"/>
      <c r="AH30" s="817"/>
      <c r="AI30" s="817"/>
      <c r="AJ30" s="817"/>
      <c r="AK30" s="817"/>
      <c r="AL30" s="817"/>
      <c r="AM30" s="817"/>
      <c r="AN30" s="817"/>
      <c r="AO30" s="817"/>
      <c r="AP30" s="817"/>
      <c r="AQ30" s="817"/>
      <c r="AR30" s="817"/>
      <c r="AS30" s="817"/>
      <c r="AT30" s="817"/>
      <c r="AU30" s="817"/>
      <c r="AV30" s="817"/>
      <c r="AW30" s="817"/>
      <c r="AX30" s="817"/>
      <c r="AY30" s="817"/>
      <c r="AZ30" s="817"/>
      <c r="BA30" s="817"/>
      <c r="BB30" s="817"/>
      <c r="BC30" s="817"/>
      <c r="BD30" s="817"/>
      <c r="BE30" s="817"/>
      <c r="BF30" s="817"/>
      <c r="BG30" s="817"/>
      <c r="BH30" s="817"/>
      <c r="BI30" s="817"/>
      <c r="BJ30" s="817"/>
      <c r="BK30" s="817"/>
      <c r="BL30" s="817"/>
      <c r="BM30" s="817"/>
      <c r="BN30" s="817"/>
      <c r="BO30" s="817"/>
      <c r="BP30" s="817"/>
      <c r="BQ30" s="817"/>
      <c r="BR30" s="817"/>
      <c r="BS30" s="817"/>
      <c r="BT30" s="817"/>
      <c r="BU30" s="817"/>
      <c r="BV30" s="817"/>
      <c r="BW30" s="817"/>
      <c r="BX30" s="817"/>
      <c r="BY30" s="817"/>
      <c r="BZ30" s="817"/>
      <c r="CA30" s="817"/>
      <c r="CB30" s="817"/>
      <c r="CC30" s="817"/>
      <c r="CD30" s="817"/>
      <c r="CE30" s="817"/>
      <c r="CF30" s="817"/>
      <c r="CG30" s="817"/>
      <c r="CH30" s="817"/>
      <c r="CI30" s="817"/>
      <c r="CJ30" s="817"/>
      <c r="CK30" s="817"/>
      <c r="CL30" s="817"/>
      <c r="CM30" s="817"/>
      <c r="CN30" s="817"/>
      <c r="CO30" s="817"/>
      <c r="CP30" s="817"/>
      <c r="CQ30" s="817"/>
      <c r="CR30" s="817"/>
      <c r="CS30" s="817"/>
      <c r="CT30" s="817"/>
      <c r="CU30" s="817"/>
      <c r="CV30" s="817"/>
      <c r="CW30" s="817"/>
      <c r="CX30" s="817"/>
      <c r="CY30" s="817"/>
      <c r="CZ30" s="817"/>
      <c r="DA30" s="817"/>
      <c r="DB30" s="817"/>
      <c r="DC30" s="817"/>
      <c r="DD30" s="817"/>
      <c r="DE30" s="817"/>
      <c r="DF30" s="817"/>
      <c r="DG30" s="817"/>
      <c r="DH30" s="817"/>
      <c r="DI30" s="817"/>
      <c r="DJ30" s="817"/>
      <c r="DK30" s="817"/>
      <c r="DL30" s="817">
        <v>322.8</v>
      </c>
      <c r="DM30" s="817">
        <v>100.2</v>
      </c>
      <c r="DN30" s="817">
        <v>120.2</v>
      </c>
      <c r="DO30" s="817"/>
      <c r="DP30" s="817"/>
      <c r="DQ30" s="817"/>
      <c r="DR30" s="817"/>
      <c r="DS30" s="817"/>
      <c r="DT30" s="817"/>
      <c r="DU30" s="817"/>
      <c r="DV30" s="817"/>
      <c r="DW30" s="817"/>
      <c r="DX30" s="817"/>
      <c r="DY30" s="817"/>
      <c r="DZ30" s="817"/>
      <c r="EA30" s="817"/>
      <c r="EB30" s="817"/>
      <c r="EC30" s="817"/>
      <c r="ED30" s="817"/>
      <c r="EE30" s="817"/>
      <c r="EF30" s="817"/>
      <c r="EG30" s="817"/>
      <c r="EH30" s="817"/>
      <c r="EI30" s="817"/>
      <c r="EJ30" s="817"/>
      <c r="EK30" s="817"/>
      <c r="EL30" s="817"/>
      <c r="EM30" s="817"/>
      <c r="EN30" s="817"/>
      <c r="EO30" s="817"/>
      <c r="EP30" s="817"/>
      <c r="EQ30" s="817"/>
      <c r="ER30" s="817"/>
      <c r="ES30" s="817"/>
      <c r="ET30" s="817"/>
      <c r="EU30" s="817"/>
      <c r="EV30" s="818">
        <f t="shared" si="1"/>
        <v>322.8</v>
      </c>
      <c r="EW30" s="818">
        <f t="shared" si="1"/>
        <v>100.2</v>
      </c>
      <c r="EX30" s="818">
        <f t="shared" si="1"/>
        <v>120.2</v>
      </c>
    </row>
    <row r="31" spans="1:154">
      <c r="A31" s="816" t="s">
        <v>1360</v>
      </c>
      <c r="B31" s="817"/>
      <c r="C31" s="817"/>
      <c r="D31" s="817"/>
      <c r="E31" s="817"/>
      <c r="F31" s="817"/>
      <c r="G31" s="817"/>
      <c r="H31" s="817"/>
      <c r="I31" s="817"/>
      <c r="J31" s="817"/>
      <c r="K31" s="817"/>
      <c r="L31" s="817"/>
      <c r="M31" s="817"/>
      <c r="N31" s="817"/>
      <c r="O31" s="817"/>
      <c r="P31" s="817"/>
      <c r="Q31" s="817"/>
      <c r="R31" s="817"/>
      <c r="S31" s="817"/>
      <c r="T31" s="817"/>
      <c r="U31" s="817"/>
      <c r="V31" s="817"/>
      <c r="W31" s="817"/>
      <c r="X31" s="817"/>
      <c r="Y31" s="817"/>
      <c r="Z31" s="817"/>
      <c r="AA31" s="817"/>
      <c r="AB31" s="817"/>
      <c r="AC31" s="817"/>
      <c r="AD31" s="817"/>
      <c r="AE31" s="817"/>
      <c r="AF31" s="817"/>
      <c r="AG31" s="817"/>
      <c r="AH31" s="817"/>
      <c r="AI31" s="817"/>
      <c r="AJ31" s="817"/>
      <c r="AK31" s="817"/>
      <c r="AL31" s="817"/>
      <c r="AM31" s="817"/>
      <c r="AN31" s="817"/>
      <c r="AO31" s="817"/>
      <c r="AP31" s="817"/>
      <c r="AQ31" s="817"/>
      <c r="AR31" s="817"/>
      <c r="AS31" s="817"/>
      <c r="AT31" s="817"/>
      <c r="AU31" s="817"/>
      <c r="AV31" s="817"/>
      <c r="AW31" s="817"/>
      <c r="AX31" s="817"/>
      <c r="AY31" s="817"/>
      <c r="AZ31" s="817"/>
      <c r="BA31" s="817"/>
      <c r="BB31" s="817"/>
      <c r="BC31" s="817"/>
      <c r="BD31" s="817"/>
      <c r="BE31" s="817"/>
      <c r="BF31" s="817"/>
      <c r="BG31" s="817"/>
      <c r="BH31" s="817"/>
      <c r="BI31" s="817"/>
      <c r="BJ31" s="817"/>
      <c r="BK31" s="817"/>
      <c r="BL31" s="817"/>
      <c r="BM31" s="817"/>
      <c r="BN31" s="817"/>
      <c r="BO31" s="817"/>
      <c r="BP31" s="817">
        <v>352.4</v>
      </c>
      <c r="BQ31" s="817">
        <v>0</v>
      </c>
      <c r="BR31" s="817">
        <v>0</v>
      </c>
      <c r="BS31" s="817"/>
      <c r="BT31" s="817"/>
      <c r="BU31" s="817"/>
      <c r="BV31" s="817"/>
      <c r="BW31" s="817"/>
      <c r="BX31" s="817"/>
      <c r="BY31" s="817"/>
      <c r="BZ31" s="817"/>
      <c r="CA31" s="817"/>
      <c r="CB31" s="817"/>
      <c r="CC31" s="817"/>
      <c r="CD31" s="817"/>
      <c r="CE31" s="817"/>
      <c r="CF31" s="817"/>
      <c r="CG31" s="817"/>
      <c r="CH31" s="817"/>
      <c r="CI31" s="817"/>
      <c r="CJ31" s="817"/>
      <c r="CK31" s="817"/>
      <c r="CL31" s="817"/>
      <c r="CM31" s="817"/>
      <c r="CN31" s="817"/>
      <c r="CO31" s="817"/>
      <c r="CP31" s="817"/>
      <c r="CQ31" s="817"/>
      <c r="CR31" s="817"/>
      <c r="CS31" s="817"/>
      <c r="CT31" s="817"/>
      <c r="CU31" s="817"/>
      <c r="CV31" s="817"/>
      <c r="CW31" s="817"/>
      <c r="CX31" s="817"/>
      <c r="CY31" s="817"/>
      <c r="CZ31" s="817"/>
      <c r="DA31" s="817"/>
      <c r="DB31" s="817"/>
      <c r="DC31" s="817"/>
      <c r="DD31" s="817"/>
      <c r="DE31" s="817"/>
      <c r="DF31" s="817"/>
      <c r="DG31" s="817"/>
      <c r="DH31" s="817"/>
      <c r="DI31" s="817"/>
      <c r="DJ31" s="817"/>
      <c r="DK31" s="817"/>
      <c r="DL31" s="817"/>
      <c r="DM31" s="817"/>
      <c r="DN31" s="817"/>
      <c r="DO31" s="817"/>
      <c r="DP31" s="817"/>
      <c r="DQ31" s="817"/>
      <c r="DR31" s="817"/>
      <c r="DS31" s="817"/>
      <c r="DT31" s="817"/>
      <c r="DU31" s="817"/>
      <c r="DV31" s="817"/>
      <c r="DW31" s="817"/>
      <c r="DX31" s="817"/>
      <c r="DY31" s="817"/>
      <c r="DZ31" s="817"/>
      <c r="EA31" s="817"/>
      <c r="EB31" s="817"/>
      <c r="EC31" s="817"/>
      <c r="ED31" s="817"/>
      <c r="EE31" s="817"/>
      <c r="EF31" s="817"/>
      <c r="EG31" s="817"/>
      <c r="EH31" s="817"/>
      <c r="EI31" s="817"/>
      <c r="EJ31" s="817"/>
      <c r="EK31" s="817"/>
      <c r="EL31" s="817"/>
      <c r="EM31" s="817"/>
      <c r="EN31" s="817"/>
      <c r="EO31" s="817"/>
      <c r="EP31" s="817"/>
      <c r="EQ31" s="817"/>
      <c r="ER31" s="817"/>
      <c r="ES31" s="817"/>
      <c r="ET31" s="817"/>
      <c r="EU31" s="817"/>
      <c r="EV31" s="818">
        <f t="shared" si="1"/>
        <v>352.4</v>
      </c>
      <c r="EW31" s="818">
        <f t="shared" si="1"/>
        <v>0</v>
      </c>
      <c r="EX31" s="818">
        <f t="shared" si="1"/>
        <v>0</v>
      </c>
    </row>
    <row r="32" spans="1:154">
      <c r="A32" s="816" t="s">
        <v>1361</v>
      </c>
      <c r="B32" s="817"/>
      <c r="C32" s="817"/>
      <c r="D32" s="817"/>
      <c r="E32" s="817"/>
      <c r="F32" s="817"/>
      <c r="G32" s="817"/>
      <c r="H32" s="817"/>
      <c r="I32" s="817"/>
      <c r="J32" s="817"/>
      <c r="K32" s="817"/>
      <c r="L32" s="817"/>
      <c r="M32" s="817"/>
      <c r="N32" s="817"/>
      <c r="O32" s="817"/>
      <c r="P32" s="817"/>
      <c r="Q32" s="817"/>
      <c r="R32" s="817"/>
      <c r="S32" s="817"/>
      <c r="T32" s="817"/>
      <c r="U32" s="817"/>
      <c r="V32" s="817"/>
      <c r="W32" s="817"/>
      <c r="X32" s="817"/>
      <c r="Y32" s="817"/>
      <c r="Z32" s="817"/>
      <c r="AA32" s="817"/>
      <c r="AB32" s="817"/>
      <c r="AC32" s="817"/>
      <c r="AD32" s="817"/>
      <c r="AE32" s="817"/>
      <c r="AF32" s="817">
        <v>10226.299999999999</v>
      </c>
      <c r="AG32" s="817">
        <v>10226.299999999999</v>
      </c>
      <c r="AH32" s="817">
        <v>10226.299999999999</v>
      </c>
      <c r="AI32" s="817">
        <v>319.39999999999998</v>
      </c>
      <c r="AJ32" s="817">
        <v>319.39999999999998</v>
      </c>
      <c r="AK32" s="817">
        <v>319.39999999999998</v>
      </c>
      <c r="AL32" s="817"/>
      <c r="AM32" s="817"/>
      <c r="AN32" s="817"/>
      <c r="AO32" s="817"/>
      <c r="AP32" s="817"/>
      <c r="AQ32" s="817"/>
      <c r="AR32" s="817"/>
      <c r="AS32" s="817"/>
      <c r="AT32" s="817"/>
      <c r="AU32" s="817"/>
      <c r="AV32" s="817"/>
      <c r="AW32" s="817"/>
      <c r="AX32" s="817"/>
      <c r="AY32" s="817"/>
      <c r="AZ32" s="817"/>
      <c r="BA32" s="817"/>
      <c r="BB32" s="817"/>
      <c r="BC32" s="817"/>
      <c r="BD32" s="817"/>
      <c r="BE32" s="817"/>
      <c r="BF32" s="817"/>
      <c r="BG32" s="817"/>
      <c r="BH32" s="817"/>
      <c r="BI32" s="817"/>
      <c r="BJ32" s="817"/>
      <c r="BK32" s="817"/>
      <c r="BL32" s="817"/>
      <c r="BM32" s="817"/>
      <c r="BN32" s="817"/>
      <c r="BO32" s="817"/>
      <c r="BP32" s="817"/>
      <c r="BQ32" s="817"/>
      <c r="BR32" s="817"/>
      <c r="BS32" s="817"/>
      <c r="BT32" s="817"/>
      <c r="BU32" s="817"/>
      <c r="BV32" s="817"/>
      <c r="BW32" s="817"/>
      <c r="BX32" s="817"/>
      <c r="BY32" s="817"/>
      <c r="BZ32" s="817"/>
      <c r="CA32" s="817"/>
      <c r="CB32" s="817"/>
      <c r="CC32" s="817"/>
      <c r="CD32" s="817"/>
      <c r="CE32" s="817"/>
      <c r="CF32" s="817"/>
      <c r="CG32" s="817"/>
      <c r="CH32" s="817"/>
      <c r="CI32" s="817"/>
      <c r="CJ32" s="817"/>
      <c r="CK32" s="817"/>
      <c r="CL32" s="817"/>
      <c r="CM32" s="817"/>
      <c r="CN32" s="817"/>
      <c r="CO32" s="817"/>
      <c r="CP32" s="817"/>
      <c r="CQ32" s="817"/>
      <c r="CR32" s="817"/>
      <c r="CS32" s="817"/>
      <c r="CT32" s="817">
        <v>7910.7</v>
      </c>
      <c r="CU32" s="817">
        <v>7263</v>
      </c>
      <c r="CV32" s="817">
        <v>7277.9</v>
      </c>
      <c r="CW32" s="817">
        <v>16952.599999999999</v>
      </c>
      <c r="CX32" s="817">
        <v>16446.099999999999</v>
      </c>
      <c r="CY32" s="817">
        <v>16446.099999999999</v>
      </c>
      <c r="CZ32" s="817"/>
      <c r="DA32" s="817"/>
      <c r="DB32" s="817"/>
      <c r="DC32" s="817"/>
      <c r="DD32" s="817"/>
      <c r="DE32" s="817"/>
      <c r="DF32" s="817"/>
      <c r="DG32" s="817"/>
      <c r="DH32" s="817"/>
      <c r="DI32" s="817"/>
      <c r="DJ32" s="817"/>
      <c r="DK32" s="817"/>
      <c r="DL32" s="817"/>
      <c r="DM32" s="817"/>
      <c r="DN32" s="817"/>
      <c r="DO32" s="817"/>
      <c r="DP32" s="817"/>
      <c r="DQ32" s="817"/>
      <c r="DR32" s="817">
        <v>200</v>
      </c>
      <c r="DS32" s="817">
        <v>200</v>
      </c>
      <c r="DT32" s="817">
        <v>200</v>
      </c>
      <c r="DU32" s="817"/>
      <c r="DV32" s="817"/>
      <c r="DW32" s="817"/>
      <c r="DX32" s="817"/>
      <c r="DY32" s="817"/>
      <c r="DZ32" s="817"/>
      <c r="EA32" s="817"/>
      <c r="EB32" s="817"/>
      <c r="EC32" s="817"/>
      <c r="ED32" s="817"/>
      <c r="EE32" s="817"/>
      <c r="EF32" s="817"/>
      <c r="EG32" s="817"/>
      <c r="EH32" s="817"/>
      <c r="EI32" s="817"/>
      <c r="EJ32" s="817"/>
      <c r="EK32" s="817"/>
      <c r="EL32" s="817"/>
      <c r="EM32" s="817"/>
      <c r="EN32" s="817"/>
      <c r="EO32" s="817"/>
      <c r="EP32" s="817"/>
      <c r="EQ32" s="817"/>
      <c r="ER32" s="817"/>
      <c r="ES32" s="817"/>
      <c r="ET32" s="817"/>
      <c r="EU32" s="817"/>
      <c r="EV32" s="818">
        <f t="shared" si="1"/>
        <v>35609</v>
      </c>
      <c r="EW32" s="818">
        <f t="shared" si="1"/>
        <v>34454.799999999996</v>
      </c>
      <c r="EX32" s="818">
        <f t="shared" si="1"/>
        <v>34469.699999999997</v>
      </c>
    </row>
    <row r="33" spans="1:154" s="820" customFormat="1">
      <c r="A33" s="816" t="s">
        <v>1362</v>
      </c>
      <c r="B33" s="817"/>
      <c r="C33" s="817"/>
      <c r="D33" s="817"/>
      <c r="E33" s="817"/>
      <c r="F33" s="817"/>
      <c r="G33" s="817"/>
      <c r="H33" s="817"/>
      <c r="I33" s="817"/>
      <c r="J33" s="817"/>
      <c r="K33" s="817"/>
      <c r="L33" s="817"/>
      <c r="M33" s="817"/>
      <c r="N33" s="817"/>
      <c r="O33" s="817"/>
      <c r="P33" s="817"/>
      <c r="Q33" s="817"/>
      <c r="R33" s="817"/>
      <c r="S33" s="817"/>
      <c r="T33" s="817"/>
      <c r="U33" s="817"/>
      <c r="V33" s="817"/>
      <c r="W33" s="817"/>
      <c r="X33" s="817"/>
      <c r="Y33" s="817"/>
      <c r="Z33" s="817"/>
      <c r="AA33" s="817"/>
      <c r="AB33" s="817"/>
      <c r="AC33" s="817"/>
      <c r="AD33" s="817"/>
      <c r="AE33" s="817"/>
      <c r="AF33" s="817"/>
      <c r="AG33" s="817"/>
      <c r="AH33" s="817"/>
      <c r="AI33" s="817"/>
      <c r="AJ33" s="817"/>
      <c r="AK33" s="817"/>
      <c r="AL33" s="817"/>
      <c r="AM33" s="817"/>
      <c r="AN33" s="817"/>
      <c r="AO33" s="817"/>
      <c r="AP33" s="817"/>
      <c r="AQ33" s="817"/>
      <c r="AR33" s="817">
        <v>2641.1</v>
      </c>
      <c r="AS33" s="817">
        <v>0</v>
      </c>
      <c r="AT33" s="817">
        <v>0</v>
      </c>
      <c r="AU33" s="817">
        <v>87925.153999999995</v>
      </c>
      <c r="AV33" s="817">
        <v>2508.0500000000002</v>
      </c>
      <c r="AW33" s="817">
        <v>2483.4499999999998</v>
      </c>
      <c r="AX33" s="817"/>
      <c r="AY33" s="817"/>
      <c r="AZ33" s="817"/>
      <c r="BA33" s="817"/>
      <c r="BB33" s="817"/>
      <c r="BC33" s="817"/>
      <c r="BD33" s="817"/>
      <c r="BE33" s="817"/>
      <c r="BF33" s="817"/>
      <c r="BG33" s="817"/>
      <c r="BH33" s="817"/>
      <c r="BI33" s="817"/>
      <c r="BJ33" s="817"/>
      <c r="BK33" s="817"/>
      <c r="BL33" s="817"/>
      <c r="BM33" s="817"/>
      <c r="BN33" s="817"/>
      <c r="BO33" s="817"/>
      <c r="BP33" s="817"/>
      <c r="BQ33" s="817"/>
      <c r="BR33" s="817"/>
      <c r="BS33" s="817"/>
      <c r="BT33" s="817"/>
      <c r="BU33" s="817"/>
      <c r="BV33" s="817"/>
      <c r="BW33" s="817"/>
      <c r="BX33" s="817"/>
      <c r="BY33" s="817">
        <v>62194.120999999999</v>
      </c>
      <c r="BZ33" s="817">
        <v>9386.15</v>
      </c>
      <c r="CA33" s="817">
        <v>9494.5499999999993</v>
      </c>
      <c r="CB33" s="817"/>
      <c r="CC33" s="817"/>
      <c r="CD33" s="817"/>
      <c r="CE33" s="817"/>
      <c r="CF33" s="817"/>
      <c r="CG33" s="817"/>
      <c r="CH33" s="817"/>
      <c r="CI33" s="817"/>
      <c r="CJ33" s="817"/>
      <c r="CK33" s="817">
        <v>16218.2</v>
      </c>
      <c r="CL33" s="817">
        <v>0</v>
      </c>
      <c r="CM33" s="817">
        <v>0</v>
      </c>
      <c r="CN33" s="817">
        <v>54649.1</v>
      </c>
      <c r="CO33" s="817">
        <v>0</v>
      </c>
      <c r="CP33" s="817">
        <v>0</v>
      </c>
      <c r="CQ33" s="817"/>
      <c r="CR33" s="817"/>
      <c r="CS33" s="817"/>
      <c r="CT33" s="817"/>
      <c r="CU33" s="817"/>
      <c r="CV33" s="817"/>
      <c r="CW33" s="817"/>
      <c r="CX33" s="817"/>
      <c r="CY33" s="817"/>
      <c r="CZ33" s="817"/>
      <c r="DA33" s="817"/>
      <c r="DB33" s="817"/>
      <c r="DC33" s="817"/>
      <c r="DD33" s="817"/>
      <c r="DE33" s="817"/>
      <c r="DF33" s="817"/>
      <c r="DG33" s="817"/>
      <c r="DH33" s="817"/>
      <c r="DI33" s="817"/>
      <c r="DJ33" s="817"/>
      <c r="DK33" s="817"/>
      <c r="DL33" s="817"/>
      <c r="DM33" s="817"/>
      <c r="DN33" s="817"/>
      <c r="DO33" s="817"/>
      <c r="DP33" s="817"/>
      <c r="DQ33" s="817"/>
      <c r="DR33" s="817">
        <v>1098</v>
      </c>
      <c r="DS33" s="817">
        <v>887</v>
      </c>
      <c r="DT33" s="817">
        <v>869</v>
      </c>
      <c r="DU33" s="817"/>
      <c r="DV33" s="817"/>
      <c r="DW33" s="817"/>
      <c r="DX33" s="817"/>
      <c r="DY33" s="817"/>
      <c r="DZ33" s="817"/>
      <c r="EA33" s="817"/>
      <c r="EB33" s="817"/>
      <c r="EC33" s="817"/>
      <c r="ED33" s="817"/>
      <c r="EE33" s="817"/>
      <c r="EF33" s="817"/>
      <c r="EG33" s="817"/>
      <c r="EH33" s="817"/>
      <c r="EI33" s="817"/>
      <c r="EJ33" s="817"/>
      <c r="EK33" s="817"/>
      <c r="EL33" s="817"/>
      <c r="EM33" s="817"/>
      <c r="EN33" s="817"/>
      <c r="EO33" s="817"/>
      <c r="EP33" s="817"/>
      <c r="EQ33" s="817"/>
      <c r="ER33" s="817"/>
      <c r="ES33" s="817"/>
      <c r="ET33" s="817"/>
      <c r="EU33" s="817"/>
      <c r="EV33" s="818">
        <f t="shared" si="1"/>
        <v>224725.67500000002</v>
      </c>
      <c r="EW33" s="818">
        <f t="shared" si="1"/>
        <v>12781.2</v>
      </c>
      <c r="EX33" s="818">
        <f t="shared" si="1"/>
        <v>12847</v>
      </c>
    </row>
    <row r="34" spans="1:154">
      <c r="A34" s="816" t="s">
        <v>1363</v>
      </c>
      <c r="B34" s="817"/>
      <c r="C34" s="817"/>
      <c r="D34" s="817"/>
      <c r="E34" s="817"/>
      <c r="F34" s="817"/>
      <c r="G34" s="817"/>
      <c r="H34" s="817"/>
      <c r="I34" s="817"/>
      <c r="J34" s="817"/>
      <c r="K34" s="817"/>
      <c r="L34" s="817"/>
      <c r="M34" s="817"/>
      <c r="N34" s="817"/>
      <c r="O34" s="817"/>
      <c r="P34" s="817"/>
      <c r="Q34" s="817"/>
      <c r="R34" s="817"/>
      <c r="S34" s="817"/>
      <c r="T34" s="817"/>
      <c r="U34" s="817"/>
      <c r="V34" s="817"/>
      <c r="W34" s="817"/>
      <c r="X34" s="817"/>
      <c r="Y34" s="817"/>
      <c r="Z34" s="817"/>
      <c r="AA34" s="817"/>
      <c r="AB34" s="817"/>
      <c r="AC34" s="817"/>
      <c r="AD34" s="817"/>
      <c r="AE34" s="817"/>
      <c r="AF34" s="817"/>
      <c r="AG34" s="817"/>
      <c r="AH34" s="817"/>
      <c r="AI34" s="817"/>
      <c r="AJ34" s="817"/>
      <c r="AK34" s="817"/>
      <c r="AL34" s="817"/>
      <c r="AM34" s="817"/>
      <c r="AN34" s="817"/>
      <c r="AO34" s="817"/>
      <c r="AP34" s="817"/>
      <c r="AQ34" s="817"/>
      <c r="AR34" s="817"/>
      <c r="AS34" s="817"/>
      <c r="AT34" s="817"/>
      <c r="AU34" s="817"/>
      <c r="AV34" s="817"/>
      <c r="AW34" s="817"/>
      <c r="AX34" s="817"/>
      <c r="AY34" s="817"/>
      <c r="AZ34" s="817"/>
      <c r="BA34" s="817"/>
      <c r="BB34" s="817"/>
      <c r="BC34" s="817"/>
      <c r="BD34" s="817"/>
      <c r="BE34" s="817"/>
      <c r="BF34" s="817"/>
      <c r="BG34" s="817"/>
      <c r="BH34" s="817"/>
      <c r="BI34" s="817"/>
      <c r="BJ34" s="817"/>
      <c r="BK34" s="817"/>
      <c r="BL34" s="817"/>
      <c r="BM34" s="817"/>
      <c r="BN34" s="817"/>
      <c r="BO34" s="817"/>
      <c r="BP34" s="817"/>
      <c r="BQ34" s="817"/>
      <c r="BR34" s="817"/>
      <c r="BS34" s="817"/>
      <c r="BT34" s="817"/>
      <c r="BU34" s="817"/>
      <c r="BV34" s="817"/>
      <c r="BW34" s="817"/>
      <c r="BX34" s="817"/>
      <c r="BY34" s="817"/>
      <c r="BZ34" s="817"/>
      <c r="CA34" s="817"/>
      <c r="CB34" s="817"/>
      <c r="CC34" s="817"/>
      <c r="CD34" s="817"/>
      <c r="CE34" s="817"/>
      <c r="CF34" s="817"/>
      <c r="CG34" s="817"/>
      <c r="CH34" s="817"/>
      <c r="CI34" s="817"/>
      <c r="CJ34" s="817"/>
      <c r="CK34" s="817"/>
      <c r="CL34" s="817"/>
      <c r="CM34" s="817"/>
      <c r="CN34" s="817"/>
      <c r="CO34" s="817"/>
      <c r="CP34" s="817"/>
      <c r="CQ34" s="817"/>
      <c r="CR34" s="817"/>
      <c r="CS34" s="817"/>
      <c r="CT34" s="817">
        <v>3750.76</v>
      </c>
      <c r="CU34" s="817">
        <v>3682.9</v>
      </c>
      <c r="CV34" s="817">
        <v>3686.1</v>
      </c>
      <c r="CW34" s="817">
        <v>8848.94</v>
      </c>
      <c r="CX34" s="817">
        <v>8613.2999999999993</v>
      </c>
      <c r="CY34" s="817">
        <v>8613.2999999999993</v>
      </c>
      <c r="CZ34" s="817"/>
      <c r="DA34" s="817"/>
      <c r="DB34" s="817"/>
      <c r="DC34" s="817"/>
      <c r="DD34" s="817"/>
      <c r="DE34" s="817"/>
      <c r="DF34" s="817"/>
      <c r="DG34" s="817"/>
      <c r="DH34" s="817"/>
      <c r="DI34" s="817"/>
      <c r="DJ34" s="817"/>
      <c r="DK34" s="817"/>
      <c r="DL34" s="817"/>
      <c r="DM34" s="817"/>
      <c r="DN34" s="817"/>
      <c r="DO34" s="817"/>
      <c r="DP34" s="817"/>
      <c r="DQ34" s="817"/>
      <c r="DR34" s="817">
        <v>369.9</v>
      </c>
      <c r="DS34" s="817">
        <v>174.8</v>
      </c>
      <c r="DT34" s="817">
        <v>373.4</v>
      </c>
      <c r="DU34" s="817"/>
      <c r="DV34" s="817"/>
      <c r="DW34" s="817"/>
      <c r="DX34" s="817"/>
      <c r="DY34" s="817"/>
      <c r="DZ34" s="817"/>
      <c r="EA34" s="817"/>
      <c r="EB34" s="817"/>
      <c r="EC34" s="817"/>
      <c r="ED34" s="817"/>
      <c r="EE34" s="817"/>
      <c r="EF34" s="817"/>
      <c r="EG34" s="817"/>
      <c r="EH34" s="817"/>
      <c r="EI34" s="817"/>
      <c r="EJ34" s="817"/>
      <c r="EK34" s="817"/>
      <c r="EL34" s="817"/>
      <c r="EM34" s="817"/>
      <c r="EN34" s="817"/>
      <c r="EO34" s="817"/>
      <c r="EP34" s="817"/>
      <c r="EQ34" s="817"/>
      <c r="ER34" s="817"/>
      <c r="ES34" s="817"/>
      <c r="ET34" s="817"/>
      <c r="EU34" s="817"/>
      <c r="EV34" s="818">
        <f t="shared" si="1"/>
        <v>12969.6</v>
      </c>
      <c r="EW34" s="818">
        <f t="shared" si="1"/>
        <v>12470.999999999998</v>
      </c>
      <c r="EX34" s="818">
        <f t="shared" si="1"/>
        <v>12672.8</v>
      </c>
    </row>
    <row r="35" spans="1:154">
      <c r="A35" s="816" t="s">
        <v>1364</v>
      </c>
      <c r="B35" s="817"/>
      <c r="C35" s="817"/>
      <c r="D35" s="817"/>
      <c r="E35" s="817"/>
      <c r="F35" s="817"/>
      <c r="G35" s="817"/>
      <c r="H35" s="817"/>
      <c r="I35" s="817"/>
      <c r="J35" s="817"/>
      <c r="K35" s="817"/>
      <c r="L35" s="817"/>
      <c r="M35" s="817"/>
      <c r="N35" s="817"/>
      <c r="O35" s="817"/>
      <c r="P35" s="817"/>
      <c r="Q35" s="817"/>
      <c r="R35" s="817"/>
      <c r="S35" s="817"/>
      <c r="T35" s="817"/>
      <c r="U35" s="817"/>
      <c r="V35" s="817"/>
      <c r="W35" s="817"/>
      <c r="X35" s="817"/>
      <c r="Y35" s="817"/>
      <c r="Z35" s="817"/>
      <c r="AA35" s="817"/>
      <c r="AB35" s="817"/>
      <c r="AC35" s="817"/>
      <c r="AD35" s="817"/>
      <c r="AE35" s="817"/>
      <c r="AF35" s="817"/>
      <c r="AG35" s="817"/>
      <c r="AH35" s="817"/>
      <c r="AI35" s="817"/>
      <c r="AJ35" s="817"/>
      <c r="AK35" s="817"/>
      <c r="AL35" s="817"/>
      <c r="AM35" s="817"/>
      <c r="AN35" s="817"/>
      <c r="AO35" s="817"/>
      <c r="AP35" s="817"/>
      <c r="AQ35" s="817"/>
      <c r="AR35" s="817"/>
      <c r="AS35" s="817"/>
      <c r="AT35" s="817"/>
      <c r="AU35" s="817"/>
      <c r="AV35" s="817"/>
      <c r="AW35" s="817"/>
      <c r="AX35" s="817"/>
      <c r="AY35" s="817"/>
      <c r="AZ35" s="817"/>
      <c r="BA35" s="817"/>
      <c r="BB35" s="817"/>
      <c r="BC35" s="817"/>
      <c r="BD35" s="817"/>
      <c r="BE35" s="817"/>
      <c r="BF35" s="817"/>
      <c r="BG35" s="817"/>
      <c r="BH35" s="817"/>
      <c r="BI35" s="817"/>
      <c r="BJ35" s="817"/>
      <c r="BK35" s="817"/>
      <c r="BL35" s="817"/>
      <c r="BM35" s="817"/>
      <c r="BN35" s="817"/>
      <c r="BO35" s="817"/>
      <c r="BP35" s="817"/>
      <c r="BQ35" s="817"/>
      <c r="BR35" s="817"/>
      <c r="BS35" s="817"/>
      <c r="BT35" s="817"/>
      <c r="BU35" s="817"/>
      <c r="BV35" s="817">
        <v>477.09500000000003</v>
      </c>
      <c r="BW35" s="817">
        <v>100</v>
      </c>
      <c r="BX35" s="817">
        <v>100</v>
      </c>
      <c r="BY35" s="817"/>
      <c r="BZ35" s="817"/>
      <c r="CA35" s="817"/>
      <c r="CB35" s="817"/>
      <c r="CC35" s="817"/>
      <c r="CD35" s="817"/>
      <c r="CE35" s="817"/>
      <c r="CF35" s="817"/>
      <c r="CG35" s="817"/>
      <c r="CH35" s="817"/>
      <c r="CI35" s="817"/>
      <c r="CJ35" s="817"/>
      <c r="CK35" s="817"/>
      <c r="CL35" s="817"/>
      <c r="CM35" s="817"/>
      <c r="CN35" s="817"/>
      <c r="CO35" s="817"/>
      <c r="CP35" s="817"/>
      <c r="CQ35" s="817"/>
      <c r="CR35" s="817"/>
      <c r="CS35" s="817"/>
      <c r="CT35" s="817"/>
      <c r="CU35" s="817"/>
      <c r="CV35" s="817"/>
      <c r="CW35" s="817"/>
      <c r="CX35" s="817"/>
      <c r="CY35" s="817"/>
      <c r="CZ35" s="817"/>
      <c r="DA35" s="817"/>
      <c r="DB35" s="817"/>
      <c r="DC35" s="817"/>
      <c r="DD35" s="817"/>
      <c r="DE35" s="817"/>
      <c r="DF35" s="817"/>
      <c r="DG35" s="817"/>
      <c r="DH35" s="817"/>
      <c r="DI35" s="817"/>
      <c r="DJ35" s="817"/>
      <c r="DK35" s="817"/>
      <c r="DL35" s="817"/>
      <c r="DM35" s="817"/>
      <c r="DN35" s="817"/>
      <c r="DO35" s="817"/>
      <c r="DP35" s="817"/>
      <c r="DQ35" s="817"/>
      <c r="DR35" s="817"/>
      <c r="DS35" s="817"/>
      <c r="DT35" s="817"/>
      <c r="DU35" s="817"/>
      <c r="DV35" s="817"/>
      <c r="DW35" s="817"/>
      <c r="DX35" s="817"/>
      <c r="DY35" s="817"/>
      <c r="DZ35" s="817"/>
      <c r="EA35" s="817"/>
      <c r="EB35" s="817"/>
      <c r="EC35" s="817"/>
      <c r="ED35" s="817"/>
      <c r="EE35" s="817"/>
      <c r="EF35" s="817"/>
      <c r="EG35" s="817"/>
      <c r="EH35" s="817"/>
      <c r="EI35" s="817"/>
      <c r="EJ35" s="817">
        <f>180+2856.4+900</f>
        <v>3936.4</v>
      </c>
      <c r="EK35" s="817">
        <f>1200</f>
        <v>1200</v>
      </c>
      <c r="EL35" s="817">
        <f>180+1200</f>
        <v>1380</v>
      </c>
      <c r="EM35" s="817"/>
      <c r="EN35" s="817"/>
      <c r="EO35" s="817"/>
      <c r="EP35" s="817"/>
      <c r="EQ35" s="817"/>
      <c r="ER35" s="817"/>
      <c r="ES35" s="817"/>
      <c r="ET35" s="817"/>
      <c r="EU35" s="817"/>
      <c r="EV35" s="818">
        <f t="shared" si="1"/>
        <v>4413.4949999999999</v>
      </c>
      <c r="EW35" s="818">
        <f t="shared" si="1"/>
        <v>1300</v>
      </c>
      <c r="EX35" s="818">
        <f t="shared" si="1"/>
        <v>1480</v>
      </c>
    </row>
    <row r="36" spans="1:154">
      <c r="A36" s="816" t="s">
        <v>1365</v>
      </c>
      <c r="B36" s="817"/>
      <c r="C36" s="817"/>
      <c r="D36" s="817"/>
      <c r="E36" s="817"/>
      <c r="F36" s="817"/>
      <c r="G36" s="817"/>
      <c r="H36" s="817"/>
      <c r="I36" s="817"/>
      <c r="J36" s="817"/>
      <c r="K36" s="817"/>
      <c r="L36" s="817"/>
      <c r="M36" s="817"/>
      <c r="N36" s="817"/>
      <c r="O36" s="817"/>
      <c r="P36" s="817"/>
      <c r="Q36" s="817"/>
      <c r="R36" s="817"/>
      <c r="S36" s="817"/>
      <c r="T36" s="817"/>
      <c r="U36" s="817"/>
      <c r="V36" s="817"/>
      <c r="W36" s="817"/>
      <c r="X36" s="817"/>
      <c r="Y36" s="817"/>
      <c r="Z36" s="817"/>
      <c r="AA36" s="817"/>
      <c r="AB36" s="817"/>
      <c r="AC36" s="817"/>
      <c r="AD36" s="817"/>
      <c r="AE36" s="817"/>
      <c r="AF36" s="817"/>
      <c r="AG36" s="817"/>
      <c r="AH36" s="817"/>
      <c r="AI36" s="817"/>
      <c r="AJ36" s="817"/>
      <c r="AK36" s="817"/>
      <c r="AL36" s="817"/>
      <c r="AM36" s="817"/>
      <c r="AN36" s="817"/>
      <c r="AO36" s="817"/>
      <c r="AP36" s="817"/>
      <c r="AQ36" s="817"/>
      <c r="AR36" s="817"/>
      <c r="AS36" s="817"/>
      <c r="AT36" s="817"/>
      <c r="AU36" s="817"/>
      <c r="AV36" s="817"/>
      <c r="AW36" s="817"/>
      <c r="AX36" s="817"/>
      <c r="AY36" s="817"/>
      <c r="AZ36" s="817"/>
      <c r="BA36" s="817"/>
      <c r="BB36" s="817"/>
      <c r="BC36" s="817"/>
      <c r="BD36" s="817"/>
      <c r="BE36" s="817"/>
      <c r="BF36" s="817"/>
      <c r="BG36" s="817"/>
      <c r="BH36" s="817"/>
      <c r="BI36" s="817"/>
      <c r="BJ36" s="817"/>
      <c r="BK36" s="817"/>
      <c r="BL36" s="817"/>
      <c r="BM36" s="817"/>
      <c r="BN36" s="817"/>
      <c r="BO36" s="817"/>
      <c r="BP36" s="817"/>
      <c r="BQ36" s="817"/>
      <c r="BR36" s="817"/>
      <c r="BS36" s="817"/>
      <c r="BT36" s="817"/>
      <c r="BU36" s="817"/>
      <c r="BV36" s="817">
        <v>4095.558</v>
      </c>
      <c r="BW36" s="817">
        <v>596.79999999999995</v>
      </c>
      <c r="BX36" s="817">
        <v>596.79999999999995</v>
      </c>
      <c r="BY36" s="817"/>
      <c r="BZ36" s="817"/>
      <c r="CA36" s="817"/>
      <c r="CB36" s="817"/>
      <c r="CC36" s="817"/>
      <c r="CD36" s="817"/>
      <c r="CE36" s="817"/>
      <c r="CF36" s="817"/>
      <c r="CG36" s="817"/>
      <c r="CH36" s="817"/>
      <c r="CI36" s="817"/>
      <c r="CJ36" s="817"/>
      <c r="CK36" s="817"/>
      <c r="CL36" s="817"/>
      <c r="CM36" s="817"/>
      <c r="CN36" s="817"/>
      <c r="CO36" s="817"/>
      <c r="CP36" s="817"/>
      <c r="CQ36" s="817"/>
      <c r="CR36" s="817"/>
      <c r="CS36" s="817"/>
      <c r="CT36" s="817"/>
      <c r="CU36" s="817"/>
      <c r="CV36" s="817"/>
      <c r="CW36" s="817"/>
      <c r="CX36" s="817"/>
      <c r="CY36" s="817"/>
      <c r="CZ36" s="817"/>
      <c r="DA36" s="817"/>
      <c r="DB36" s="817"/>
      <c r="DC36" s="817"/>
      <c r="DD36" s="817"/>
      <c r="DE36" s="817"/>
      <c r="DF36" s="817"/>
      <c r="DG36" s="817"/>
      <c r="DH36" s="817"/>
      <c r="DI36" s="817"/>
      <c r="DJ36" s="817"/>
      <c r="DK36" s="817"/>
      <c r="DL36" s="817"/>
      <c r="DM36" s="817"/>
      <c r="DN36" s="817"/>
      <c r="DO36" s="817"/>
      <c r="DP36" s="817"/>
      <c r="DQ36" s="817"/>
      <c r="DR36" s="817"/>
      <c r="DS36" s="817"/>
      <c r="DT36" s="817"/>
      <c r="DU36" s="817"/>
      <c r="DV36" s="817"/>
      <c r="DW36" s="817"/>
      <c r="DX36" s="817"/>
      <c r="DY36" s="817"/>
      <c r="DZ36" s="817"/>
      <c r="EA36" s="817"/>
      <c r="EB36" s="817"/>
      <c r="EC36" s="817"/>
      <c r="ED36" s="817"/>
      <c r="EE36" s="817"/>
      <c r="EF36" s="817"/>
      <c r="EG36" s="817"/>
      <c r="EH36" s="817"/>
      <c r="EI36" s="817"/>
      <c r="EJ36" s="817"/>
      <c r="EK36" s="817"/>
      <c r="EL36" s="817"/>
      <c r="EM36" s="817"/>
      <c r="EN36" s="817"/>
      <c r="EO36" s="817"/>
      <c r="EP36" s="817"/>
      <c r="EQ36" s="817"/>
      <c r="ER36" s="817"/>
      <c r="ES36" s="817"/>
      <c r="ET36" s="817"/>
      <c r="EU36" s="817"/>
      <c r="EV36" s="818">
        <f t="shared" si="1"/>
        <v>4095.558</v>
      </c>
      <c r="EW36" s="818">
        <f t="shared" si="1"/>
        <v>596.79999999999995</v>
      </c>
      <c r="EX36" s="818">
        <f t="shared" si="1"/>
        <v>596.79999999999995</v>
      </c>
    </row>
    <row r="37" spans="1:154">
      <c r="A37" s="816" t="s">
        <v>1270</v>
      </c>
      <c r="B37" s="817"/>
      <c r="C37" s="817"/>
      <c r="D37" s="817"/>
      <c r="E37" s="817"/>
      <c r="F37" s="817"/>
      <c r="G37" s="817"/>
      <c r="H37" s="817"/>
      <c r="I37" s="817"/>
      <c r="J37" s="817"/>
      <c r="K37" s="817"/>
      <c r="L37" s="817"/>
      <c r="M37" s="817"/>
      <c r="N37" s="817"/>
      <c r="O37" s="817"/>
      <c r="P37" s="817"/>
      <c r="Q37" s="817"/>
      <c r="R37" s="817"/>
      <c r="S37" s="817"/>
      <c r="T37" s="817"/>
      <c r="U37" s="817"/>
      <c r="V37" s="817"/>
      <c r="W37" s="817"/>
      <c r="X37" s="817"/>
      <c r="Y37" s="817"/>
      <c r="Z37" s="817"/>
      <c r="AA37" s="817"/>
      <c r="AB37" s="817"/>
      <c r="AC37" s="817"/>
      <c r="AD37" s="817"/>
      <c r="AE37" s="817"/>
      <c r="AF37" s="817"/>
      <c r="AG37" s="817"/>
      <c r="AH37" s="817"/>
      <c r="AI37" s="817"/>
      <c r="AJ37" s="817"/>
      <c r="AK37" s="817"/>
      <c r="AL37" s="817"/>
      <c r="AM37" s="817"/>
      <c r="AN37" s="817"/>
      <c r="AO37" s="817"/>
      <c r="AP37" s="817"/>
      <c r="AQ37" s="817"/>
      <c r="AR37" s="817"/>
      <c r="AS37" s="817"/>
      <c r="AT37" s="817"/>
      <c r="AU37" s="817"/>
      <c r="AV37" s="817"/>
      <c r="AW37" s="817"/>
      <c r="AX37" s="817"/>
      <c r="AY37" s="817"/>
      <c r="AZ37" s="817"/>
      <c r="BA37" s="817"/>
      <c r="BB37" s="817"/>
      <c r="BC37" s="817"/>
      <c r="BD37" s="817"/>
      <c r="BE37" s="817"/>
      <c r="BF37" s="817"/>
      <c r="BG37" s="817"/>
      <c r="BH37" s="817"/>
      <c r="BI37" s="817"/>
      <c r="BJ37" s="817"/>
      <c r="BK37" s="817"/>
      <c r="BL37" s="817"/>
      <c r="BM37" s="817"/>
      <c r="BN37" s="817"/>
      <c r="BO37" s="817"/>
      <c r="BP37" s="817"/>
      <c r="BQ37" s="817"/>
      <c r="BR37" s="817"/>
      <c r="BS37" s="817"/>
      <c r="BT37" s="817"/>
      <c r="BU37" s="817"/>
      <c r="BV37" s="817"/>
      <c r="BW37" s="817"/>
      <c r="BX37" s="817"/>
      <c r="BY37" s="817"/>
      <c r="BZ37" s="817"/>
      <c r="CA37" s="817"/>
      <c r="CB37" s="817"/>
      <c r="CC37" s="817"/>
      <c r="CD37" s="817"/>
      <c r="CE37" s="817"/>
      <c r="CF37" s="817"/>
      <c r="CG37" s="817"/>
      <c r="CH37" s="817"/>
      <c r="CI37" s="817"/>
      <c r="CJ37" s="817"/>
      <c r="CK37" s="817"/>
      <c r="CL37" s="817"/>
      <c r="CM37" s="817"/>
      <c r="CN37" s="817"/>
      <c r="CO37" s="817"/>
      <c r="CP37" s="817"/>
      <c r="CQ37" s="817"/>
      <c r="CR37" s="817"/>
      <c r="CS37" s="817"/>
      <c r="CT37" s="817"/>
      <c r="CU37" s="817"/>
      <c r="CV37" s="817"/>
      <c r="CW37" s="817"/>
      <c r="CX37" s="817"/>
      <c r="CY37" s="817"/>
      <c r="CZ37" s="817"/>
      <c r="DA37" s="817"/>
      <c r="DB37" s="817"/>
      <c r="DC37" s="817"/>
      <c r="DD37" s="817"/>
      <c r="DE37" s="817"/>
      <c r="DF37" s="817"/>
      <c r="DG37" s="817"/>
      <c r="DH37" s="817"/>
      <c r="DI37" s="817"/>
      <c r="DJ37" s="817"/>
      <c r="DK37" s="817"/>
      <c r="DL37" s="817"/>
      <c r="DM37" s="817"/>
      <c r="DN37" s="817"/>
      <c r="DO37" s="817"/>
      <c r="DP37" s="817"/>
      <c r="DQ37" s="817"/>
      <c r="DR37" s="817"/>
      <c r="DS37" s="817"/>
      <c r="DT37" s="817"/>
      <c r="DU37" s="817"/>
      <c r="DV37" s="817"/>
      <c r="DW37" s="817"/>
      <c r="DX37" s="817"/>
      <c r="DY37" s="817"/>
      <c r="DZ37" s="817"/>
      <c r="EA37" s="817"/>
      <c r="EB37" s="817"/>
      <c r="EC37" s="817"/>
      <c r="ED37" s="817"/>
      <c r="EE37" s="817"/>
      <c r="EF37" s="817"/>
      <c r="EG37" s="817"/>
      <c r="EH37" s="817"/>
      <c r="EI37" s="817"/>
      <c r="EJ37" s="817">
        <v>5.7</v>
      </c>
      <c r="EK37" s="817">
        <v>5.7</v>
      </c>
      <c r="EL37" s="817">
        <v>5.7</v>
      </c>
      <c r="EM37" s="817"/>
      <c r="EN37" s="817"/>
      <c r="EO37" s="817"/>
      <c r="EP37" s="817"/>
      <c r="EQ37" s="817"/>
      <c r="ER37" s="817"/>
      <c r="ES37" s="817"/>
      <c r="ET37" s="817"/>
      <c r="EU37" s="817"/>
      <c r="EV37" s="818">
        <f t="shared" si="1"/>
        <v>5.7</v>
      </c>
      <c r="EW37" s="818">
        <f t="shared" si="1"/>
        <v>5.7</v>
      </c>
      <c r="EX37" s="818">
        <f t="shared" si="1"/>
        <v>5.7</v>
      </c>
    </row>
    <row r="38" spans="1:154">
      <c r="A38" s="816" t="s">
        <v>1366</v>
      </c>
      <c r="B38" s="817"/>
      <c r="C38" s="817"/>
      <c r="D38" s="817"/>
      <c r="E38" s="817"/>
      <c r="F38" s="817"/>
      <c r="G38" s="817"/>
      <c r="H38" s="817"/>
      <c r="I38" s="817"/>
      <c r="J38" s="817"/>
      <c r="K38" s="817"/>
      <c r="L38" s="817"/>
      <c r="M38" s="817"/>
      <c r="N38" s="817"/>
      <c r="O38" s="817"/>
      <c r="P38" s="817"/>
      <c r="Q38" s="817"/>
      <c r="R38" s="817"/>
      <c r="S38" s="817"/>
      <c r="T38" s="817"/>
      <c r="U38" s="817"/>
      <c r="V38" s="817"/>
      <c r="W38" s="817"/>
      <c r="X38" s="817"/>
      <c r="Y38" s="817"/>
      <c r="Z38" s="817"/>
      <c r="AA38" s="817"/>
      <c r="AB38" s="817"/>
      <c r="AC38" s="817"/>
      <c r="AD38" s="817"/>
      <c r="AE38" s="817"/>
      <c r="AF38" s="817"/>
      <c r="AG38" s="817"/>
      <c r="AH38" s="817"/>
      <c r="AI38" s="817"/>
      <c r="AJ38" s="817"/>
      <c r="AK38" s="817"/>
      <c r="AL38" s="817"/>
      <c r="AM38" s="817"/>
      <c r="AN38" s="817"/>
      <c r="AO38" s="817"/>
      <c r="AP38" s="817"/>
      <c r="AQ38" s="817"/>
      <c r="AR38" s="817"/>
      <c r="AS38" s="817"/>
      <c r="AT38" s="817"/>
      <c r="AU38" s="817"/>
      <c r="AV38" s="817"/>
      <c r="AW38" s="817"/>
      <c r="AX38" s="817"/>
      <c r="AY38" s="817"/>
      <c r="AZ38" s="817"/>
      <c r="BA38" s="817"/>
      <c r="BB38" s="817"/>
      <c r="BC38" s="817"/>
      <c r="BD38" s="817"/>
      <c r="BE38" s="817"/>
      <c r="BF38" s="817"/>
      <c r="BG38" s="817"/>
      <c r="BH38" s="817"/>
      <c r="BI38" s="817"/>
      <c r="BJ38" s="817">
        <v>2498</v>
      </c>
      <c r="BK38" s="817">
        <v>2498</v>
      </c>
      <c r="BL38" s="817">
        <v>2498</v>
      </c>
      <c r="BM38" s="817"/>
      <c r="BN38" s="817"/>
      <c r="BO38" s="817"/>
      <c r="BP38" s="817"/>
      <c r="BQ38" s="817"/>
      <c r="BR38" s="817"/>
      <c r="BS38" s="817"/>
      <c r="BT38" s="817"/>
      <c r="BU38" s="817"/>
      <c r="BV38" s="817"/>
      <c r="BW38" s="817"/>
      <c r="BX38" s="817"/>
      <c r="BY38" s="817"/>
      <c r="BZ38" s="817"/>
      <c r="CA38" s="817"/>
      <c r="CB38" s="817"/>
      <c r="CC38" s="817"/>
      <c r="CD38" s="817"/>
      <c r="CE38" s="817"/>
      <c r="CF38" s="817"/>
      <c r="CG38" s="817"/>
      <c r="CH38" s="817"/>
      <c r="CI38" s="817"/>
      <c r="CJ38" s="817"/>
      <c r="CK38" s="817"/>
      <c r="CL38" s="817"/>
      <c r="CM38" s="817"/>
      <c r="CN38" s="817"/>
      <c r="CO38" s="817"/>
      <c r="CP38" s="817"/>
      <c r="CQ38" s="817"/>
      <c r="CR38" s="817"/>
      <c r="CS38" s="817"/>
      <c r="CT38" s="817"/>
      <c r="CU38" s="817"/>
      <c r="CV38" s="817"/>
      <c r="CW38" s="817"/>
      <c r="CX38" s="817"/>
      <c r="CY38" s="817"/>
      <c r="CZ38" s="817"/>
      <c r="DA38" s="817"/>
      <c r="DB38" s="817"/>
      <c r="DC38" s="817"/>
      <c r="DD38" s="817"/>
      <c r="DE38" s="817"/>
      <c r="DF38" s="817"/>
      <c r="DG38" s="817"/>
      <c r="DH38" s="817"/>
      <c r="DI38" s="817"/>
      <c r="DJ38" s="817"/>
      <c r="DK38" s="817"/>
      <c r="DL38" s="817"/>
      <c r="DM38" s="817"/>
      <c r="DN38" s="817"/>
      <c r="DO38" s="817"/>
      <c r="DP38" s="817"/>
      <c r="DQ38" s="817"/>
      <c r="DR38" s="817"/>
      <c r="DS38" s="817"/>
      <c r="DT38" s="817"/>
      <c r="DU38" s="817"/>
      <c r="DV38" s="817"/>
      <c r="DW38" s="817"/>
      <c r="DX38" s="817"/>
      <c r="DY38" s="817"/>
      <c r="DZ38" s="817"/>
      <c r="EA38" s="817"/>
      <c r="EB38" s="817"/>
      <c r="EC38" s="817"/>
      <c r="ED38" s="817"/>
      <c r="EE38" s="817"/>
      <c r="EF38" s="817"/>
      <c r="EG38" s="817"/>
      <c r="EH38" s="817"/>
      <c r="EI38" s="817"/>
      <c r="EJ38" s="817"/>
      <c r="EK38" s="817"/>
      <c r="EL38" s="817"/>
      <c r="EM38" s="817"/>
      <c r="EN38" s="817"/>
      <c r="EO38" s="817"/>
      <c r="EP38" s="817"/>
      <c r="EQ38" s="817"/>
      <c r="ER38" s="817"/>
      <c r="ES38" s="817"/>
      <c r="ET38" s="817"/>
      <c r="EU38" s="817"/>
      <c r="EV38" s="818">
        <f t="shared" si="1"/>
        <v>2498</v>
      </c>
      <c r="EW38" s="818">
        <f t="shared" si="1"/>
        <v>2498</v>
      </c>
      <c r="EX38" s="818">
        <f t="shared" si="1"/>
        <v>2498</v>
      </c>
    </row>
    <row r="39" spans="1:154">
      <c r="A39" s="816" t="s">
        <v>1367</v>
      </c>
      <c r="B39" s="817"/>
      <c r="C39" s="817"/>
      <c r="D39" s="817"/>
      <c r="E39" s="817"/>
      <c r="F39" s="817"/>
      <c r="G39" s="817"/>
      <c r="H39" s="817"/>
      <c r="I39" s="817"/>
      <c r="J39" s="817"/>
      <c r="K39" s="817"/>
      <c r="L39" s="817"/>
      <c r="M39" s="817"/>
      <c r="N39" s="817"/>
      <c r="O39" s="817"/>
      <c r="P39" s="817"/>
      <c r="Q39" s="817"/>
      <c r="R39" s="817"/>
      <c r="S39" s="817"/>
      <c r="T39" s="817"/>
      <c r="U39" s="817"/>
      <c r="V39" s="817"/>
      <c r="W39" s="817"/>
      <c r="X39" s="817"/>
      <c r="Y39" s="817"/>
      <c r="Z39" s="817"/>
      <c r="AA39" s="817"/>
      <c r="AB39" s="817"/>
      <c r="AC39" s="817"/>
      <c r="AD39" s="817"/>
      <c r="AE39" s="817"/>
      <c r="AF39" s="817"/>
      <c r="AG39" s="817"/>
      <c r="AH39" s="817"/>
      <c r="AI39" s="817"/>
      <c r="AJ39" s="817"/>
      <c r="AK39" s="817"/>
      <c r="AL39" s="817"/>
      <c r="AM39" s="817"/>
      <c r="AN39" s="817"/>
      <c r="AO39" s="817"/>
      <c r="AP39" s="817"/>
      <c r="AQ39" s="817"/>
      <c r="AR39" s="817"/>
      <c r="AS39" s="817"/>
      <c r="AT39" s="817"/>
      <c r="AU39" s="817"/>
      <c r="AV39" s="817"/>
      <c r="AW39" s="817"/>
      <c r="AX39" s="817"/>
      <c r="AY39" s="817"/>
      <c r="AZ39" s="817"/>
      <c r="BA39" s="817"/>
      <c r="BB39" s="817"/>
      <c r="BC39" s="817"/>
      <c r="BD39" s="817"/>
      <c r="BE39" s="817"/>
      <c r="BF39" s="817"/>
      <c r="BG39" s="817"/>
      <c r="BH39" s="817"/>
      <c r="BI39" s="817"/>
      <c r="BJ39" s="817"/>
      <c r="BK39" s="817"/>
      <c r="BL39" s="817"/>
      <c r="BM39" s="817">
        <v>9058.4969999999994</v>
      </c>
      <c r="BN39" s="817">
        <v>7492.1</v>
      </c>
      <c r="BO39" s="817">
        <v>5898.5</v>
      </c>
      <c r="BP39" s="817"/>
      <c r="BQ39" s="817"/>
      <c r="BR39" s="817"/>
      <c r="BS39" s="817"/>
      <c r="BT39" s="817"/>
      <c r="BU39" s="817"/>
      <c r="BV39" s="817"/>
      <c r="BW39" s="817"/>
      <c r="BX39" s="817"/>
      <c r="BY39" s="817"/>
      <c r="BZ39" s="817"/>
      <c r="CA39" s="817"/>
      <c r="CB39" s="817"/>
      <c r="CC39" s="817"/>
      <c r="CD39" s="817"/>
      <c r="CE39" s="817"/>
      <c r="CF39" s="817"/>
      <c r="CG39" s="817"/>
      <c r="CH39" s="817"/>
      <c r="CI39" s="817"/>
      <c r="CJ39" s="817"/>
      <c r="CK39" s="817"/>
      <c r="CL39" s="817"/>
      <c r="CM39" s="817"/>
      <c r="CN39" s="817"/>
      <c r="CO39" s="817"/>
      <c r="CP39" s="817"/>
      <c r="CQ39" s="817"/>
      <c r="CR39" s="817"/>
      <c r="CS39" s="817"/>
      <c r="CT39" s="817"/>
      <c r="CU39" s="817"/>
      <c r="CV39" s="817"/>
      <c r="CW39" s="817"/>
      <c r="CX39" s="817"/>
      <c r="CY39" s="817"/>
      <c r="CZ39" s="817"/>
      <c r="DA39" s="817"/>
      <c r="DB39" s="817"/>
      <c r="DC39" s="817"/>
      <c r="DD39" s="817"/>
      <c r="DE39" s="817"/>
      <c r="DF39" s="817"/>
      <c r="DG39" s="817"/>
      <c r="DH39" s="817"/>
      <c r="DI39" s="817"/>
      <c r="DJ39" s="817"/>
      <c r="DK39" s="817"/>
      <c r="DL39" s="817"/>
      <c r="DM39" s="817"/>
      <c r="DN39" s="817"/>
      <c r="DO39" s="817"/>
      <c r="DP39" s="817"/>
      <c r="DQ39" s="817"/>
      <c r="DR39" s="817"/>
      <c r="DS39" s="817"/>
      <c r="DT39" s="817"/>
      <c r="DU39" s="817"/>
      <c r="DV39" s="817"/>
      <c r="DW39" s="817"/>
      <c r="DX39" s="817"/>
      <c r="DY39" s="817"/>
      <c r="DZ39" s="817"/>
      <c r="EA39" s="817"/>
      <c r="EB39" s="817"/>
      <c r="EC39" s="817"/>
      <c r="ED39" s="817"/>
      <c r="EE39" s="817"/>
      <c r="EF39" s="817"/>
      <c r="EG39" s="817"/>
      <c r="EH39" s="817"/>
      <c r="EI39" s="817"/>
      <c r="EJ39" s="817"/>
      <c r="EK39" s="817"/>
      <c r="EL39" s="817"/>
      <c r="EM39" s="817"/>
      <c r="EN39" s="817"/>
      <c r="EO39" s="817"/>
      <c r="EP39" s="817"/>
      <c r="EQ39" s="817"/>
      <c r="ER39" s="817"/>
      <c r="ES39" s="817"/>
      <c r="ET39" s="817"/>
      <c r="EU39" s="817"/>
      <c r="EV39" s="818">
        <f t="shared" si="1"/>
        <v>9058.4969999999994</v>
      </c>
      <c r="EW39" s="818">
        <f t="shared" si="1"/>
        <v>7492.1</v>
      </c>
      <c r="EX39" s="818">
        <f t="shared" si="1"/>
        <v>5898.5</v>
      </c>
    </row>
    <row r="40" spans="1:154" ht="12.75" customHeight="1">
      <c r="A40" s="816" t="s">
        <v>1368</v>
      </c>
      <c r="B40" s="817"/>
      <c r="C40" s="817"/>
      <c r="D40" s="817"/>
      <c r="E40" s="817"/>
      <c r="F40" s="817"/>
      <c r="G40" s="817"/>
      <c r="H40" s="817"/>
      <c r="I40" s="817"/>
      <c r="J40" s="817"/>
      <c r="K40" s="817"/>
      <c r="L40" s="817"/>
      <c r="M40" s="817"/>
      <c r="N40" s="817"/>
      <c r="O40" s="817"/>
      <c r="P40" s="817"/>
      <c r="Q40" s="817"/>
      <c r="R40" s="817"/>
      <c r="S40" s="817"/>
      <c r="T40" s="817"/>
      <c r="U40" s="817"/>
      <c r="V40" s="817"/>
      <c r="W40" s="817"/>
      <c r="X40" s="817"/>
      <c r="Y40" s="817"/>
      <c r="Z40" s="817"/>
      <c r="AA40" s="817"/>
      <c r="AB40" s="817"/>
      <c r="AC40" s="817"/>
      <c r="AD40" s="817"/>
      <c r="AE40" s="817"/>
      <c r="AF40" s="817"/>
      <c r="AG40" s="817"/>
      <c r="AH40" s="817"/>
      <c r="AI40" s="817"/>
      <c r="AJ40" s="817"/>
      <c r="AK40" s="817"/>
      <c r="AL40" s="817"/>
      <c r="AM40" s="817"/>
      <c r="AN40" s="817"/>
      <c r="AO40" s="817"/>
      <c r="AP40" s="817"/>
      <c r="AQ40" s="817"/>
      <c r="AR40" s="817"/>
      <c r="AS40" s="817"/>
      <c r="AT40" s="817"/>
      <c r="AU40" s="817"/>
      <c r="AV40" s="817"/>
      <c r="AW40" s="817"/>
      <c r="AX40" s="817"/>
      <c r="AY40" s="817"/>
      <c r="AZ40" s="817"/>
      <c r="BA40" s="817"/>
      <c r="BB40" s="817"/>
      <c r="BC40" s="817"/>
      <c r="BD40" s="817"/>
      <c r="BE40" s="817"/>
      <c r="BF40" s="817"/>
      <c r="BG40" s="817"/>
      <c r="BH40" s="817"/>
      <c r="BI40" s="817"/>
      <c r="BJ40" s="817"/>
      <c r="BK40" s="817"/>
      <c r="BL40" s="817"/>
      <c r="BM40" s="817">
        <v>7638.5</v>
      </c>
      <c r="BN40" s="817">
        <v>7638.5</v>
      </c>
      <c r="BO40" s="817">
        <v>7638.5</v>
      </c>
      <c r="BP40" s="817"/>
      <c r="BQ40" s="817"/>
      <c r="BR40" s="817"/>
      <c r="BS40" s="817"/>
      <c r="BT40" s="817"/>
      <c r="BU40" s="817"/>
      <c r="BV40" s="817"/>
      <c r="BW40" s="817"/>
      <c r="BX40" s="817"/>
      <c r="BY40" s="817"/>
      <c r="BZ40" s="817"/>
      <c r="CA40" s="817"/>
      <c r="CB40" s="817"/>
      <c r="CC40" s="817"/>
      <c r="CD40" s="817"/>
      <c r="CE40" s="817"/>
      <c r="CF40" s="817"/>
      <c r="CG40" s="817"/>
      <c r="CH40" s="817"/>
      <c r="CI40" s="817"/>
      <c r="CJ40" s="817"/>
      <c r="CK40" s="817"/>
      <c r="CL40" s="817"/>
      <c r="CM40" s="817"/>
      <c r="CN40" s="817"/>
      <c r="CO40" s="817"/>
      <c r="CP40" s="817"/>
      <c r="CQ40" s="817"/>
      <c r="CR40" s="817"/>
      <c r="CS40" s="817"/>
      <c r="CT40" s="817"/>
      <c r="CU40" s="817"/>
      <c r="CV40" s="817"/>
      <c r="CW40" s="817"/>
      <c r="CX40" s="817"/>
      <c r="CY40" s="817"/>
      <c r="CZ40" s="817"/>
      <c r="DA40" s="817"/>
      <c r="DB40" s="817"/>
      <c r="DC40" s="817"/>
      <c r="DD40" s="817"/>
      <c r="DE40" s="817"/>
      <c r="DF40" s="817"/>
      <c r="DG40" s="817"/>
      <c r="DH40" s="817"/>
      <c r="DI40" s="817"/>
      <c r="DJ40" s="817"/>
      <c r="DK40" s="817"/>
      <c r="DL40" s="817"/>
      <c r="DM40" s="817"/>
      <c r="DN40" s="817"/>
      <c r="DO40" s="817"/>
      <c r="DP40" s="817"/>
      <c r="DQ40" s="817"/>
      <c r="DR40" s="817"/>
      <c r="DS40" s="817"/>
      <c r="DT40" s="817"/>
      <c r="DU40" s="817"/>
      <c r="DV40" s="817"/>
      <c r="DW40" s="817"/>
      <c r="DX40" s="817"/>
      <c r="DY40" s="817"/>
      <c r="DZ40" s="817"/>
      <c r="EA40" s="817"/>
      <c r="EB40" s="817"/>
      <c r="EC40" s="817"/>
      <c r="ED40" s="817"/>
      <c r="EE40" s="817"/>
      <c r="EF40" s="817"/>
      <c r="EG40" s="817"/>
      <c r="EH40" s="817"/>
      <c r="EI40" s="817"/>
      <c r="EJ40" s="817"/>
      <c r="EK40" s="817"/>
      <c r="EL40" s="817"/>
      <c r="EM40" s="817"/>
      <c r="EN40" s="817"/>
      <c r="EO40" s="817"/>
      <c r="EP40" s="817"/>
      <c r="EQ40" s="817"/>
      <c r="ER40" s="817"/>
      <c r="ES40" s="817"/>
      <c r="ET40" s="817"/>
      <c r="EU40" s="817"/>
      <c r="EV40" s="818">
        <f>B40+E40+H40+K40+N40+Q40+T40+W40+Z40+AC40+AF40+AI40+AL40+AO40+AR40+AU40+AX40+BA40+BD40+BG40+BJ40+BM40+BP40+BS40+BV40+BY40+CB40+CE40+CH40+CK40+CN40+CQ40+CT40+CW40+CZ40+DC40+DF40+DI40+DL40+DO40+DR40+DU40+DX40+EA40+ED40+EG40+EJ40+EM40+EP40+ES40</f>
        <v>7638.5</v>
      </c>
      <c r="EW40" s="818">
        <f t="shared" si="1"/>
        <v>7638.5</v>
      </c>
      <c r="EX40" s="818">
        <f t="shared" si="1"/>
        <v>7638.5</v>
      </c>
    </row>
    <row r="41" spans="1:154">
      <c r="A41" s="816" t="s">
        <v>1369</v>
      </c>
      <c r="B41" s="817"/>
      <c r="C41" s="817"/>
      <c r="D41" s="817"/>
      <c r="E41" s="817"/>
      <c r="F41" s="817"/>
      <c r="G41" s="817"/>
      <c r="H41" s="817"/>
      <c r="I41" s="817"/>
      <c r="J41" s="817"/>
      <c r="K41" s="817"/>
      <c r="L41" s="817"/>
      <c r="M41" s="817"/>
      <c r="N41" s="817"/>
      <c r="O41" s="817"/>
      <c r="P41" s="817"/>
      <c r="Q41" s="817"/>
      <c r="R41" s="817"/>
      <c r="S41" s="817"/>
      <c r="T41" s="817"/>
      <c r="U41" s="817"/>
      <c r="V41" s="817"/>
      <c r="W41" s="817"/>
      <c r="X41" s="817"/>
      <c r="Y41" s="817"/>
      <c r="Z41" s="817"/>
      <c r="AA41" s="817"/>
      <c r="AB41" s="817"/>
      <c r="AC41" s="817"/>
      <c r="AD41" s="817"/>
      <c r="AE41" s="817"/>
      <c r="AF41" s="817"/>
      <c r="AG41" s="817"/>
      <c r="AH41" s="817"/>
      <c r="AI41" s="817"/>
      <c r="AJ41" s="817"/>
      <c r="AK41" s="817"/>
      <c r="AL41" s="817"/>
      <c r="AM41" s="817"/>
      <c r="AN41" s="817"/>
      <c r="AO41" s="817"/>
      <c r="AP41" s="817"/>
      <c r="AQ41" s="817"/>
      <c r="AR41" s="817"/>
      <c r="AS41" s="817"/>
      <c r="AT41" s="817"/>
      <c r="AU41" s="817"/>
      <c r="AV41" s="817"/>
      <c r="AW41" s="817"/>
      <c r="AX41" s="817"/>
      <c r="AY41" s="817"/>
      <c r="AZ41" s="817"/>
      <c r="BA41" s="817"/>
      <c r="BB41" s="817"/>
      <c r="BC41" s="817"/>
      <c r="BD41" s="817"/>
      <c r="BE41" s="817"/>
      <c r="BF41" s="817"/>
      <c r="BG41" s="817"/>
      <c r="BH41" s="817"/>
      <c r="BI41" s="817"/>
      <c r="BJ41" s="817"/>
      <c r="BK41" s="817"/>
      <c r="BL41" s="817"/>
      <c r="BM41" s="817"/>
      <c r="BN41" s="817"/>
      <c r="BO41" s="817"/>
      <c r="BP41" s="817"/>
      <c r="BQ41" s="817"/>
      <c r="BR41" s="817"/>
      <c r="BS41" s="817"/>
      <c r="BT41" s="817"/>
      <c r="BU41" s="817"/>
      <c r="BV41" s="817"/>
      <c r="BW41" s="817"/>
      <c r="BX41" s="817"/>
      <c r="BY41" s="817"/>
      <c r="BZ41" s="817"/>
      <c r="CA41" s="817"/>
      <c r="CB41" s="817"/>
      <c r="CC41" s="817"/>
      <c r="CD41" s="817"/>
      <c r="CE41" s="817"/>
      <c r="CF41" s="817"/>
      <c r="CG41" s="817"/>
      <c r="CH41" s="817"/>
      <c r="CI41" s="817"/>
      <c r="CJ41" s="817"/>
      <c r="CK41" s="817"/>
      <c r="CL41" s="817"/>
      <c r="CM41" s="817"/>
      <c r="CN41" s="817"/>
      <c r="CO41" s="817"/>
      <c r="CP41" s="817"/>
      <c r="CQ41" s="817"/>
      <c r="CR41" s="817"/>
      <c r="CS41" s="817"/>
      <c r="CT41" s="817"/>
      <c r="CU41" s="817"/>
      <c r="CV41" s="817"/>
      <c r="CW41" s="817"/>
      <c r="CX41" s="817"/>
      <c r="CY41" s="817"/>
      <c r="CZ41" s="817"/>
      <c r="DA41" s="817"/>
      <c r="DB41" s="817"/>
      <c r="DC41" s="817"/>
      <c r="DD41" s="817"/>
      <c r="DE41" s="817"/>
      <c r="DF41" s="817"/>
      <c r="DG41" s="817"/>
      <c r="DH41" s="817"/>
      <c r="DI41" s="817"/>
      <c r="DJ41" s="817"/>
      <c r="DK41" s="817"/>
      <c r="DL41" s="817"/>
      <c r="DM41" s="817"/>
      <c r="DN41" s="817"/>
      <c r="DO41" s="817"/>
      <c r="DP41" s="817"/>
      <c r="DQ41" s="817"/>
      <c r="DR41" s="817"/>
      <c r="DS41" s="817"/>
      <c r="DT41" s="817"/>
      <c r="DU41" s="817"/>
      <c r="DV41" s="817"/>
      <c r="DW41" s="817"/>
      <c r="DX41" s="817"/>
      <c r="DY41" s="817"/>
      <c r="DZ41" s="817"/>
      <c r="EA41" s="817"/>
      <c r="EB41" s="817"/>
      <c r="EC41" s="817"/>
      <c r="ED41" s="817"/>
      <c r="EE41" s="817"/>
      <c r="EF41" s="817"/>
      <c r="EG41" s="817"/>
      <c r="EH41" s="817"/>
      <c r="EI41" s="817"/>
      <c r="EJ41" s="817"/>
      <c r="EK41" s="817"/>
      <c r="EL41" s="817"/>
      <c r="EM41" s="817"/>
      <c r="EN41" s="817"/>
      <c r="EO41" s="817"/>
      <c r="EP41" s="817"/>
      <c r="EQ41" s="817"/>
      <c r="ER41" s="817"/>
      <c r="ES41" s="817"/>
      <c r="ET41" s="817"/>
      <c r="EU41" s="817"/>
      <c r="EV41" s="818">
        <f t="shared" si="1"/>
        <v>0</v>
      </c>
      <c r="EW41" s="818">
        <f t="shared" si="1"/>
        <v>0</v>
      </c>
      <c r="EX41" s="818">
        <f t="shared" si="1"/>
        <v>0</v>
      </c>
    </row>
    <row r="42" spans="1:154">
      <c r="A42" s="816" t="s">
        <v>1370</v>
      </c>
      <c r="B42" s="817"/>
      <c r="C42" s="817"/>
      <c r="D42" s="817"/>
      <c r="E42" s="817"/>
      <c r="F42" s="817"/>
      <c r="G42" s="817"/>
      <c r="H42" s="817"/>
      <c r="I42" s="817"/>
      <c r="J42" s="817"/>
      <c r="K42" s="817"/>
      <c r="L42" s="817"/>
      <c r="M42" s="817"/>
      <c r="N42" s="817"/>
      <c r="O42" s="817"/>
      <c r="P42" s="817"/>
      <c r="Q42" s="817"/>
      <c r="R42" s="817"/>
      <c r="S42" s="817"/>
      <c r="T42" s="817"/>
      <c r="U42" s="817"/>
      <c r="V42" s="817"/>
      <c r="W42" s="817"/>
      <c r="X42" s="817"/>
      <c r="Y42" s="817"/>
      <c r="Z42" s="817"/>
      <c r="AA42" s="817"/>
      <c r="AB42" s="817"/>
      <c r="AC42" s="817"/>
      <c r="AD42" s="817"/>
      <c r="AE42" s="817"/>
      <c r="AF42" s="817"/>
      <c r="AG42" s="817"/>
      <c r="AH42" s="817"/>
      <c r="AI42" s="817"/>
      <c r="AJ42" s="817"/>
      <c r="AK42" s="817"/>
      <c r="AL42" s="817"/>
      <c r="AM42" s="817"/>
      <c r="AN42" s="817"/>
      <c r="AO42" s="817"/>
      <c r="AP42" s="817"/>
      <c r="AQ42" s="817"/>
      <c r="AR42" s="817"/>
      <c r="AS42" s="817"/>
      <c r="AT42" s="817"/>
      <c r="AU42" s="817"/>
      <c r="AV42" s="817"/>
      <c r="AW42" s="817"/>
      <c r="AX42" s="817"/>
      <c r="AY42" s="817"/>
      <c r="AZ42" s="817"/>
      <c r="BA42" s="817"/>
      <c r="BB42" s="817"/>
      <c r="BC42" s="817"/>
      <c r="BD42" s="817"/>
      <c r="BE42" s="817"/>
      <c r="BF42" s="817"/>
      <c r="BG42" s="817"/>
      <c r="BH42" s="817"/>
      <c r="BI42" s="817"/>
      <c r="BJ42" s="817"/>
      <c r="BK42" s="817"/>
      <c r="BL42" s="817"/>
      <c r="BM42" s="817"/>
      <c r="BN42" s="817"/>
      <c r="BO42" s="817"/>
      <c r="BP42" s="817"/>
      <c r="BQ42" s="817"/>
      <c r="BR42" s="817"/>
      <c r="BS42" s="817"/>
      <c r="BT42" s="817"/>
      <c r="BU42" s="817"/>
      <c r="BV42" s="817"/>
      <c r="BW42" s="817"/>
      <c r="BX42" s="817"/>
      <c r="BY42" s="817"/>
      <c r="BZ42" s="817"/>
      <c r="CA42" s="817"/>
      <c r="CB42" s="817"/>
      <c r="CC42" s="817"/>
      <c r="CD42" s="817"/>
      <c r="CE42" s="817"/>
      <c r="CF42" s="817"/>
      <c r="CG42" s="817"/>
      <c r="CH42" s="817"/>
      <c r="CI42" s="817"/>
      <c r="CJ42" s="817"/>
      <c r="CK42" s="817"/>
      <c r="CL42" s="817"/>
      <c r="CM42" s="817"/>
      <c r="CN42" s="817"/>
      <c r="CO42" s="817"/>
      <c r="CP42" s="817"/>
      <c r="CQ42" s="817"/>
      <c r="CR42" s="817"/>
      <c r="CS42" s="817"/>
      <c r="CT42" s="817"/>
      <c r="CU42" s="817"/>
      <c r="CV42" s="817"/>
      <c r="CW42" s="817"/>
      <c r="CX42" s="817"/>
      <c r="CY42" s="817"/>
      <c r="CZ42" s="817"/>
      <c r="DA42" s="817"/>
      <c r="DB42" s="817"/>
      <c r="DC42" s="817"/>
      <c r="DD42" s="817"/>
      <c r="DE42" s="817"/>
      <c r="DF42" s="817"/>
      <c r="DG42" s="817"/>
      <c r="DH42" s="817"/>
      <c r="DI42" s="817"/>
      <c r="DJ42" s="817"/>
      <c r="DK42" s="817"/>
      <c r="DL42" s="817"/>
      <c r="DM42" s="817"/>
      <c r="DN42" s="817"/>
      <c r="DO42" s="817"/>
      <c r="DP42" s="817"/>
      <c r="DQ42" s="817"/>
      <c r="DR42" s="817"/>
      <c r="DS42" s="817"/>
      <c r="DT42" s="817"/>
      <c r="DU42" s="817"/>
      <c r="DV42" s="817"/>
      <c r="DW42" s="817"/>
      <c r="DX42" s="817"/>
      <c r="DY42" s="817"/>
      <c r="DZ42" s="817"/>
      <c r="EA42" s="817"/>
      <c r="EB42" s="817"/>
      <c r="EC42" s="817"/>
      <c r="ED42" s="817"/>
      <c r="EE42" s="817"/>
      <c r="EF42" s="817"/>
      <c r="EG42" s="817"/>
      <c r="EH42" s="817"/>
      <c r="EI42" s="817"/>
      <c r="EJ42" s="817"/>
      <c r="EK42" s="817"/>
      <c r="EL42" s="817"/>
      <c r="EM42" s="817"/>
      <c r="EN42" s="817"/>
      <c r="EO42" s="817"/>
      <c r="EP42" s="817"/>
      <c r="EQ42" s="817"/>
      <c r="ER42" s="817"/>
      <c r="ES42" s="817"/>
      <c r="ET42" s="817"/>
      <c r="EU42" s="817"/>
      <c r="EV42" s="818">
        <f t="shared" si="1"/>
        <v>0</v>
      </c>
      <c r="EW42" s="818">
        <f t="shared" si="1"/>
        <v>0</v>
      </c>
      <c r="EX42" s="818">
        <f t="shared" si="1"/>
        <v>0</v>
      </c>
    </row>
    <row r="43" spans="1:154">
      <c r="A43" s="816" t="s">
        <v>1371</v>
      </c>
      <c r="B43" s="817"/>
      <c r="C43" s="817"/>
      <c r="D43" s="817"/>
      <c r="E43" s="817"/>
      <c r="F43" s="817"/>
      <c r="G43" s="817"/>
      <c r="H43" s="817"/>
      <c r="I43" s="817"/>
      <c r="J43" s="817"/>
      <c r="K43" s="817"/>
      <c r="L43" s="817"/>
      <c r="M43" s="817"/>
      <c r="N43" s="817"/>
      <c r="O43" s="817"/>
      <c r="P43" s="817"/>
      <c r="Q43" s="817"/>
      <c r="R43" s="817"/>
      <c r="S43" s="817"/>
      <c r="T43" s="817"/>
      <c r="U43" s="817"/>
      <c r="V43" s="817"/>
      <c r="W43" s="817"/>
      <c r="X43" s="817"/>
      <c r="Y43" s="817"/>
      <c r="Z43" s="817"/>
      <c r="AA43" s="817"/>
      <c r="AB43" s="817"/>
      <c r="AC43" s="817"/>
      <c r="AD43" s="817"/>
      <c r="AE43" s="817"/>
      <c r="AF43" s="817"/>
      <c r="AG43" s="817"/>
      <c r="AH43" s="817"/>
      <c r="AI43" s="817"/>
      <c r="AJ43" s="817"/>
      <c r="AK43" s="817"/>
      <c r="AL43" s="817"/>
      <c r="AM43" s="817"/>
      <c r="AN43" s="817"/>
      <c r="AO43" s="817"/>
      <c r="AP43" s="817"/>
      <c r="AQ43" s="817"/>
      <c r="AR43" s="817"/>
      <c r="AS43" s="817"/>
      <c r="AT43" s="817"/>
      <c r="AU43" s="817"/>
      <c r="AV43" s="817"/>
      <c r="AW43" s="817"/>
      <c r="AX43" s="817"/>
      <c r="AY43" s="817"/>
      <c r="AZ43" s="817"/>
      <c r="BA43" s="817"/>
      <c r="BB43" s="817"/>
      <c r="BC43" s="817"/>
      <c r="BD43" s="817"/>
      <c r="BE43" s="817"/>
      <c r="BF43" s="817"/>
      <c r="BG43" s="817"/>
      <c r="BH43" s="817"/>
      <c r="BI43" s="817"/>
      <c r="BJ43" s="817"/>
      <c r="BK43" s="817"/>
      <c r="BL43" s="817"/>
      <c r="BM43" s="817"/>
      <c r="BN43" s="817"/>
      <c r="BO43" s="817"/>
      <c r="BP43" s="817"/>
      <c r="BQ43" s="817"/>
      <c r="BR43" s="817"/>
      <c r="BS43" s="817"/>
      <c r="BT43" s="817"/>
      <c r="BU43" s="817"/>
      <c r="BV43" s="817"/>
      <c r="BW43" s="817"/>
      <c r="BX43" s="817"/>
      <c r="BY43" s="817"/>
      <c r="BZ43" s="817"/>
      <c r="CA43" s="817"/>
      <c r="CB43" s="817"/>
      <c r="CC43" s="817"/>
      <c r="CD43" s="817"/>
      <c r="CE43" s="817"/>
      <c r="CF43" s="817"/>
      <c r="CG43" s="817"/>
      <c r="CH43" s="817"/>
      <c r="CI43" s="817"/>
      <c r="CJ43" s="817"/>
      <c r="CK43" s="817"/>
      <c r="CL43" s="817"/>
      <c r="CM43" s="817"/>
      <c r="CN43" s="817"/>
      <c r="CO43" s="817"/>
      <c r="CP43" s="817"/>
      <c r="CQ43" s="817"/>
      <c r="CR43" s="817"/>
      <c r="CS43" s="817"/>
      <c r="CT43" s="817"/>
      <c r="CU43" s="817"/>
      <c r="CV43" s="817"/>
      <c r="CW43" s="817"/>
      <c r="CX43" s="817"/>
      <c r="CY43" s="817"/>
      <c r="CZ43" s="817"/>
      <c r="DA43" s="817"/>
      <c r="DB43" s="817"/>
      <c r="DC43" s="817"/>
      <c r="DD43" s="817"/>
      <c r="DE43" s="817"/>
      <c r="DF43" s="817"/>
      <c r="DG43" s="817"/>
      <c r="DH43" s="817"/>
      <c r="DI43" s="817"/>
      <c r="DJ43" s="817"/>
      <c r="DK43" s="817"/>
      <c r="DL43" s="817"/>
      <c r="DM43" s="817"/>
      <c r="DN43" s="817"/>
      <c r="DO43" s="817"/>
      <c r="DP43" s="817"/>
      <c r="DQ43" s="817"/>
      <c r="DR43" s="817"/>
      <c r="DS43" s="817"/>
      <c r="DT43" s="817"/>
      <c r="DU43" s="817"/>
      <c r="DV43" s="817"/>
      <c r="DW43" s="817"/>
      <c r="DX43" s="817"/>
      <c r="DY43" s="817"/>
      <c r="DZ43" s="817"/>
      <c r="EA43" s="817"/>
      <c r="EB43" s="817"/>
      <c r="EC43" s="817"/>
      <c r="ED43" s="817"/>
      <c r="EE43" s="817"/>
      <c r="EF43" s="817"/>
      <c r="EG43" s="817"/>
      <c r="EH43" s="817"/>
      <c r="EI43" s="817"/>
      <c r="EJ43" s="817"/>
      <c r="EK43" s="817"/>
      <c r="EL43" s="817"/>
      <c r="EM43" s="817"/>
      <c r="EN43" s="817"/>
      <c r="EO43" s="817"/>
      <c r="EP43" s="817"/>
      <c r="EQ43" s="817"/>
      <c r="ER43" s="817"/>
      <c r="ES43" s="817"/>
      <c r="ET43" s="817"/>
      <c r="EU43" s="817"/>
      <c r="EV43" s="818">
        <f t="shared" si="1"/>
        <v>0</v>
      </c>
      <c r="EW43" s="818">
        <f t="shared" si="1"/>
        <v>0</v>
      </c>
      <c r="EX43" s="818">
        <f t="shared" si="1"/>
        <v>0</v>
      </c>
    </row>
    <row r="44" spans="1:154" s="820" customFormat="1">
      <c r="A44" s="816" t="s">
        <v>1333</v>
      </c>
      <c r="B44" s="817">
        <f t="shared" ref="B44:BP44" si="2">SUM(B4:B43)</f>
        <v>2859.3</v>
      </c>
      <c r="C44" s="817">
        <f t="shared" si="2"/>
        <v>2911.9</v>
      </c>
      <c r="D44" s="817">
        <f t="shared" si="2"/>
        <v>2968.2</v>
      </c>
      <c r="E44" s="817">
        <f t="shared" si="2"/>
        <v>78537.506999999998</v>
      </c>
      <c r="F44" s="817">
        <f t="shared" si="2"/>
        <v>24489.65</v>
      </c>
      <c r="G44" s="817">
        <f t="shared" si="2"/>
        <v>24489.65</v>
      </c>
      <c r="H44" s="817">
        <f t="shared" si="2"/>
        <v>3742.2</v>
      </c>
      <c r="I44" s="817">
        <f t="shared" si="2"/>
        <v>2889.2</v>
      </c>
      <c r="J44" s="817">
        <f t="shared" si="2"/>
        <v>3451.1</v>
      </c>
      <c r="K44" s="817">
        <f t="shared" si="2"/>
        <v>11041.1</v>
      </c>
      <c r="L44" s="817">
        <f t="shared" si="2"/>
        <v>6000</v>
      </c>
      <c r="M44" s="817">
        <f t="shared" si="2"/>
        <v>6000</v>
      </c>
      <c r="N44" s="817">
        <f t="shared" si="2"/>
        <v>7784.1970000000001</v>
      </c>
      <c r="O44" s="817">
        <f t="shared" si="2"/>
        <v>0</v>
      </c>
      <c r="P44" s="817">
        <f t="shared" si="2"/>
        <v>0</v>
      </c>
      <c r="Q44" s="817">
        <f t="shared" si="2"/>
        <v>1213.8</v>
      </c>
      <c r="R44" s="817">
        <f t="shared" si="2"/>
        <v>30</v>
      </c>
      <c r="S44" s="817">
        <f t="shared" si="2"/>
        <v>30</v>
      </c>
      <c r="T44" s="817">
        <f t="shared" si="2"/>
        <v>178836.59999999998</v>
      </c>
      <c r="U44" s="817">
        <f t="shared" si="2"/>
        <v>126456.40000000001</v>
      </c>
      <c r="V44" s="817">
        <f t="shared" si="2"/>
        <v>128007.6</v>
      </c>
      <c r="W44" s="817">
        <f t="shared" si="2"/>
        <v>97062.991999999998</v>
      </c>
      <c r="X44" s="817">
        <f t="shared" si="2"/>
        <v>92194.900999999998</v>
      </c>
      <c r="Y44" s="817">
        <f t="shared" si="2"/>
        <v>74643.555999999997</v>
      </c>
      <c r="Z44" s="817">
        <f t="shared" si="2"/>
        <v>231945.50899999999</v>
      </c>
      <c r="AA44" s="817">
        <f t="shared" si="2"/>
        <v>255723.46</v>
      </c>
      <c r="AB44" s="817">
        <f t="shared" si="2"/>
        <v>87033.845000000001</v>
      </c>
      <c r="AC44" s="817">
        <f t="shared" si="2"/>
        <v>116407.734</v>
      </c>
      <c r="AD44" s="817">
        <f t="shared" si="2"/>
        <v>49682.899999999994</v>
      </c>
      <c r="AE44" s="817">
        <f t="shared" si="2"/>
        <v>49900.899999999994</v>
      </c>
      <c r="AF44" s="817">
        <f t="shared" si="2"/>
        <v>10226.299999999999</v>
      </c>
      <c r="AG44" s="817">
        <f t="shared" si="2"/>
        <v>10226.299999999999</v>
      </c>
      <c r="AH44" s="817">
        <f t="shared" si="2"/>
        <v>10226.299999999999</v>
      </c>
      <c r="AI44" s="817">
        <f t="shared" si="2"/>
        <v>1087.6999999999998</v>
      </c>
      <c r="AJ44" s="817">
        <f t="shared" si="2"/>
        <v>1087.6999999999998</v>
      </c>
      <c r="AK44" s="817">
        <f t="shared" si="2"/>
        <v>1087.6999999999998</v>
      </c>
      <c r="AL44" s="817">
        <f t="shared" si="2"/>
        <v>4439.8999999999996</v>
      </c>
      <c r="AM44" s="817">
        <f t="shared" si="2"/>
        <v>1818.8</v>
      </c>
      <c r="AN44" s="817">
        <f t="shared" si="2"/>
        <v>1210</v>
      </c>
      <c r="AO44" s="817">
        <f t="shared" ref="AO44:AQ44" si="3">SUM(AO4:AO43)</f>
        <v>2090</v>
      </c>
      <c r="AP44" s="817">
        <f t="shared" si="3"/>
        <v>0</v>
      </c>
      <c r="AQ44" s="817">
        <f t="shared" si="3"/>
        <v>0</v>
      </c>
      <c r="AR44" s="817">
        <f t="shared" si="2"/>
        <v>5124.2999999999993</v>
      </c>
      <c r="AS44" s="817">
        <f t="shared" si="2"/>
        <v>2493.8999999999996</v>
      </c>
      <c r="AT44" s="817">
        <f t="shared" si="2"/>
        <v>2505.1000000000004</v>
      </c>
      <c r="AU44" s="817">
        <f t="shared" si="2"/>
        <v>87925.153999999995</v>
      </c>
      <c r="AV44" s="817">
        <f t="shared" si="2"/>
        <v>2508.0500000000002</v>
      </c>
      <c r="AW44" s="817">
        <f t="shared" si="2"/>
        <v>2483.4499999999998</v>
      </c>
      <c r="AX44" s="817">
        <f t="shared" si="2"/>
        <v>1830</v>
      </c>
      <c r="AY44" s="817">
        <f t="shared" si="2"/>
        <v>0</v>
      </c>
      <c r="AZ44" s="817">
        <f t="shared" si="2"/>
        <v>0</v>
      </c>
      <c r="BA44" s="817">
        <f t="shared" si="2"/>
        <v>1146.7</v>
      </c>
      <c r="BB44" s="817">
        <f t="shared" si="2"/>
        <v>700</v>
      </c>
      <c r="BC44" s="817">
        <f t="shared" si="2"/>
        <v>700</v>
      </c>
      <c r="BD44" s="817">
        <f t="shared" si="2"/>
        <v>2176.46</v>
      </c>
      <c r="BE44" s="817">
        <f t="shared" si="2"/>
        <v>100</v>
      </c>
      <c r="BF44" s="817">
        <f t="shared" si="2"/>
        <v>100</v>
      </c>
      <c r="BG44" s="817">
        <f t="shared" si="2"/>
        <v>2528.3000000000002</v>
      </c>
      <c r="BH44" s="817">
        <f t="shared" si="2"/>
        <v>2528.3000000000002</v>
      </c>
      <c r="BI44" s="817">
        <f t="shared" si="2"/>
        <v>2528.3000000000002</v>
      </c>
      <c r="BJ44" s="817">
        <f t="shared" si="2"/>
        <v>2498</v>
      </c>
      <c r="BK44" s="817">
        <f t="shared" si="2"/>
        <v>2498</v>
      </c>
      <c r="BL44" s="817">
        <f t="shared" si="2"/>
        <v>2498</v>
      </c>
      <c r="BM44" s="817">
        <f t="shared" si="2"/>
        <v>16696.996999999999</v>
      </c>
      <c r="BN44" s="817">
        <f t="shared" si="2"/>
        <v>15130.6</v>
      </c>
      <c r="BO44" s="817">
        <f t="shared" si="2"/>
        <v>13537</v>
      </c>
      <c r="BP44" s="817">
        <f t="shared" si="2"/>
        <v>352.4</v>
      </c>
      <c r="BQ44" s="817">
        <f t="shared" ref="BQ44:EK44" si="4">SUM(BQ4:BQ43)</f>
        <v>0</v>
      </c>
      <c r="BR44" s="817">
        <f t="shared" si="4"/>
        <v>0</v>
      </c>
      <c r="BS44" s="817">
        <f t="shared" si="4"/>
        <v>0</v>
      </c>
      <c r="BT44" s="817">
        <f t="shared" si="4"/>
        <v>0</v>
      </c>
      <c r="BU44" s="817">
        <f t="shared" si="4"/>
        <v>0</v>
      </c>
      <c r="BV44" s="817">
        <f t="shared" si="4"/>
        <v>4572.6530000000002</v>
      </c>
      <c r="BW44" s="817">
        <f t="shared" si="4"/>
        <v>696.8</v>
      </c>
      <c r="BX44" s="817">
        <f t="shared" si="4"/>
        <v>696.8</v>
      </c>
      <c r="BY44" s="817">
        <f t="shared" si="4"/>
        <v>62194.120999999999</v>
      </c>
      <c r="BZ44" s="817">
        <f t="shared" si="4"/>
        <v>9386.15</v>
      </c>
      <c r="CA44" s="817">
        <f t="shared" si="4"/>
        <v>9494.5499999999993</v>
      </c>
      <c r="CB44" s="817">
        <f t="shared" si="4"/>
        <v>977.86199999999997</v>
      </c>
      <c r="CC44" s="817">
        <f t="shared" si="4"/>
        <v>0</v>
      </c>
      <c r="CD44" s="817">
        <f t="shared" si="4"/>
        <v>0</v>
      </c>
      <c r="CE44" s="817">
        <f t="shared" si="4"/>
        <v>0</v>
      </c>
      <c r="CF44" s="817">
        <f t="shared" si="4"/>
        <v>0</v>
      </c>
      <c r="CG44" s="817">
        <f t="shared" si="4"/>
        <v>0</v>
      </c>
      <c r="CH44" s="817">
        <f t="shared" si="4"/>
        <v>0</v>
      </c>
      <c r="CI44" s="817">
        <f t="shared" si="4"/>
        <v>0</v>
      </c>
      <c r="CJ44" s="817">
        <f t="shared" si="4"/>
        <v>0</v>
      </c>
      <c r="CK44" s="817">
        <f t="shared" si="4"/>
        <v>16218.2</v>
      </c>
      <c r="CL44" s="817">
        <f t="shared" si="4"/>
        <v>0</v>
      </c>
      <c r="CM44" s="817">
        <f t="shared" si="4"/>
        <v>0</v>
      </c>
      <c r="CN44" s="817">
        <f t="shared" si="4"/>
        <v>54649.1</v>
      </c>
      <c r="CO44" s="817">
        <f t="shared" si="4"/>
        <v>0</v>
      </c>
      <c r="CP44" s="817">
        <f t="shared" si="4"/>
        <v>0</v>
      </c>
      <c r="CQ44" s="817">
        <f t="shared" si="4"/>
        <v>0</v>
      </c>
      <c r="CR44" s="817">
        <f t="shared" si="4"/>
        <v>0</v>
      </c>
      <c r="CS44" s="817">
        <f t="shared" si="4"/>
        <v>0</v>
      </c>
      <c r="CT44" s="817">
        <f t="shared" si="4"/>
        <v>47162.642</v>
      </c>
      <c r="CU44" s="817">
        <f t="shared" si="4"/>
        <v>41083.247000000003</v>
      </c>
      <c r="CV44" s="817">
        <f t="shared" si="4"/>
        <v>41169.659999999996</v>
      </c>
      <c r="CW44" s="817">
        <f t="shared" si="4"/>
        <v>84020.902999999991</v>
      </c>
      <c r="CX44" s="817">
        <f t="shared" si="4"/>
        <v>81576.006999999998</v>
      </c>
      <c r="CY44" s="817">
        <f t="shared" si="4"/>
        <v>81576.006999999998</v>
      </c>
      <c r="CZ44" s="817">
        <f t="shared" si="4"/>
        <v>0</v>
      </c>
      <c r="DA44" s="817">
        <f t="shared" si="4"/>
        <v>0</v>
      </c>
      <c r="DB44" s="817">
        <f t="shared" si="4"/>
        <v>0</v>
      </c>
      <c r="DC44" s="817">
        <f t="shared" si="4"/>
        <v>0</v>
      </c>
      <c r="DD44" s="817">
        <f t="shared" si="4"/>
        <v>0</v>
      </c>
      <c r="DE44" s="817">
        <f t="shared" si="4"/>
        <v>0</v>
      </c>
      <c r="DF44" s="817">
        <f t="shared" si="4"/>
        <v>13452</v>
      </c>
      <c r="DG44" s="817">
        <f t="shared" si="4"/>
        <v>13491.1</v>
      </c>
      <c r="DH44" s="817">
        <f t="shared" si="4"/>
        <v>13533.7</v>
      </c>
      <c r="DI44" s="817">
        <f t="shared" si="4"/>
        <v>42.594000000000001</v>
      </c>
      <c r="DJ44" s="817">
        <f t="shared" si="4"/>
        <v>0</v>
      </c>
      <c r="DK44" s="817">
        <f t="shared" si="4"/>
        <v>0</v>
      </c>
      <c r="DL44" s="817">
        <f t="shared" si="4"/>
        <v>322.8</v>
      </c>
      <c r="DM44" s="817">
        <f t="shared" si="4"/>
        <v>100.2</v>
      </c>
      <c r="DN44" s="817">
        <f t="shared" si="4"/>
        <v>120.2</v>
      </c>
      <c r="DO44" s="817">
        <f t="shared" si="4"/>
        <v>10</v>
      </c>
      <c r="DP44" s="817">
        <f t="shared" si="4"/>
        <v>0</v>
      </c>
      <c r="DQ44" s="817">
        <f t="shared" si="4"/>
        <v>0</v>
      </c>
      <c r="DR44" s="817">
        <f t="shared" si="4"/>
        <v>9094.7999999999993</v>
      </c>
      <c r="DS44" s="817">
        <f t="shared" si="4"/>
        <v>7931.3270000000002</v>
      </c>
      <c r="DT44" s="817">
        <f t="shared" si="4"/>
        <v>8627.6999999999989</v>
      </c>
      <c r="DU44" s="817">
        <f t="shared" si="4"/>
        <v>25444</v>
      </c>
      <c r="DV44" s="817">
        <f t="shared" si="4"/>
        <v>24753</v>
      </c>
      <c r="DW44" s="817">
        <f t="shared" si="4"/>
        <v>24347</v>
      </c>
      <c r="DX44" s="817">
        <f t="shared" si="4"/>
        <v>773.5</v>
      </c>
      <c r="DY44" s="817">
        <f t="shared" si="4"/>
        <v>0</v>
      </c>
      <c r="DZ44" s="817">
        <f t="shared" si="4"/>
        <v>0</v>
      </c>
      <c r="EA44" s="817">
        <f t="shared" si="4"/>
        <v>910</v>
      </c>
      <c r="EB44" s="817">
        <f t="shared" si="4"/>
        <v>0</v>
      </c>
      <c r="EC44" s="817">
        <f t="shared" si="4"/>
        <v>0</v>
      </c>
      <c r="ED44" s="817">
        <f t="shared" si="4"/>
        <v>113.29899999999999</v>
      </c>
      <c r="EE44" s="817">
        <f t="shared" si="4"/>
        <v>119.04599999999999</v>
      </c>
      <c r="EF44" s="817">
        <f t="shared" si="4"/>
        <v>124.79299999999999</v>
      </c>
      <c r="EG44" s="817">
        <f t="shared" si="4"/>
        <v>114.9</v>
      </c>
      <c r="EH44" s="817">
        <f t="shared" si="4"/>
        <v>118.3</v>
      </c>
      <c r="EI44" s="817">
        <f t="shared" si="4"/>
        <v>131.4</v>
      </c>
      <c r="EJ44" s="817">
        <f t="shared" si="4"/>
        <v>3942.1</v>
      </c>
      <c r="EK44" s="817">
        <f t="shared" si="4"/>
        <v>1205.7</v>
      </c>
      <c r="EL44" s="817">
        <f t="shared" ref="EL44:EU44" si="5">SUM(EL4:EL43)</f>
        <v>1385.7</v>
      </c>
      <c r="EM44" s="817">
        <f t="shared" si="5"/>
        <v>0</v>
      </c>
      <c r="EN44" s="817">
        <f t="shared" si="5"/>
        <v>0</v>
      </c>
      <c r="EO44" s="817">
        <f t="shared" si="5"/>
        <v>0</v>
      </c>
      <c r="EP44" s="817">
        <f t="shared" si="5"/>
        <v>238</v>
      </c>
      <c r="EQ44" s="817">
        <f t="shared" si="5"/>
        <v>226.2</v>
      </c>
      <c r="ER44" s="817">
        <f t="shared" si="5"/>
        <v>226.4</v>
      </c>
      <c r="ES44" s="817">
        <f t="shared" si="5"/>
        <v>0</v>
      </c>
      <c r="ET44" s="817">
        <f t="shared" si="5"/>
        <v>13624</v>
      </c>
      <c r="EU44" s="817">
        <f t="shared" si="5"/>
        <v>27985</v>
      </c>
      <c r="EV44" s="818">
        <f>SUM(EV4:EV43)</f>
        <v>1191806.6240000001</v>
      </c>
      <c r="EW44" s="818">
        <f t="shared" ref="EW44" si="6">SUM(EW4:EW43)</f>
        <v>793781.1379999998</v>
      </c>
      <c r="EX44" s="818">
        <f>SUM(EX4:EX43)</f>
        <v>622819.61099999992</v>
      </c>
    </row>
    <row r="45" spans="1:154">
      <c r="BP45" s="823"/>
      <c r="BQ45" s="823"/>
      <c r="BR45" s="823"/>
      <c r="BS45" s="823"/>
      <c r="BT45" s="823"/>
      <c r="BU45" s="823"/>
      <c r="BV45" s="823"/>
      <c r="BW45" s="823"/>
      <c r="BX45" s="823"/>
      <c r="BY45" s="823"/>
      <c r="BZ45" s="823"/>
      <c r="CA45" s="823"/>
      <c r="CB45" s="823"/>
      <c r="CC45" s="823"/>
      <c r="CD45" s="823"/>
      <c r="CE45" s="823"/>
      <c r="CF45" s="823"/>
      <c r="CG45" s="823"/>
      <c r="CH45" s="823"/>
      <c r="CI45" s="823"/>
      <c r="CJ45" s="823"/>
      <c r="CK45" s="824"/>
      <c r="CN45" s="824"/>
      <c r="CO45" s="824"/>
      <c r="CP45" s="824"/>
      <c r="CQ45" s="825">
        <f>B44+E44+H44+K44+N44+Q44+T44+W44+Z44+AC44+AF44+AI44+AL44+AR44+AU44+AX44+BA44+BD44+BG44+BJ44+BM44+BP44+BS44+BV44+BY44+CB44+CH44+CK44+CN44+CQ44</f>
        <v>1004075.086</v>
      </c>
      <c r="CR45" s="824">
        <f>C44+F44+I44+L44+O44+R44+U44+X44+AA44+AD44+AG44+AJ44+AM44+AS44+AV44+AY44+BB44+BE44+BH44+BK44+BN44+BQ44+BT44+BW44+BZ44+CC44+CI44+CL44+CO44+CR44</f>
        <v>609553.01100000029</v>
      </c>
      <c r="CS45" s="824">
        <f>D44+G44+J44+M44+P44+S44+V44+Y44+AB44+AE44+AH44+AK44+AN44+AT44+AW44+AZ44+BC44+BF44+BI44+BL44+BO44+BR44+BU44+BX44+CA44+CD44+CJ44+CM44+CP44+CS44</f>
        <v>423592.05099999998</v>
      </c>
      <c r="CT45" s="824"/>
      <c r="CU45" s="824"/>
      <c r="CV45" s="824"/>
      <c r="CW45" s="824"/>
      <c r="CX45" s="824"/>
      <c r="CY45" s="824"/>
      <c r="CZ45" s="824"/>
      <c r="DA45" s="824"/>
      <c r="DB45" s="824"/>
      <c r="DC45" s="824"/>
      <c r="DD45" s="824"/>
      <c r="DE45" s="824"/>
      <c r="DF45" s="824"/>
      <c r="DG45" s="824"/>
      <c r="DH45" s="824"/>
      <c r="DI45" s="824"/>
      <c r="DJ45" s="824"/>
      <c r="DK45" s="824"/>
      <c r="DL45" s="824"/>
      <c r="DM45" s="824"/>
      <c r="DN45" s="824"/>
      <c r="DO45" s="824"/>
      <c r="DP45" s="824"/>
      <c r="DQ45" s="824"/>
      <c r="DR45" s="824"/>
      <c r="DS45" s="824"/>
      <c r="DT45" s="824"/>
      <c r="DU45" s="824"/>
      <c r="DV45" s="824"/>
      <c r="DW45" s="824"/>
      <c r="DX45" s="825"/>
      <c r="DY45" s="825"/>
      <c r="DZ45" s="825"/>
      <c r="EA45" s="825"/>
      <c r="EB45" s="825"/>
      <c r="EC45" s="825"/>
      <c r="ED45" s="824">
        <f>CT44+CW44+CZ44+DC44+DF44+DI44+DL44+DR44+DU44+DX44+ED44</f>
        <v>180426.53799999997</v>
      </c>
      <c r="EE45" s="825"/>
      <c r="EF45" s="825"/>
      <c r="EG45" s="824"/>
      <c r="EH45" s="824"/>
      <c r="EI45" s="824"/>
      <c r="EJ45" s="825"/>
      <c r="EK45" s="825"/>
      <c r="EL45" s="825"/>
      <c r="EM45" s="825"/>
      <c r="EN45" s="825"/>
      <c r="EO45" s="825"/>
      <c r="EP45" s="824">
        <f>EG44+EJ44+EM44+EP44</f>
        <v>4295</v>
      </c>
      <c r="EQ45" s="824"/>
      <c r="ER45" s="824"/>
      <c r="ES45" s="824"/>
      <c r="ET45" s="824"/>
      <c r="EU45" s="824"/>
      <c r="EW45" s="824"/>
    </row>
    <row r="46" spans="1:154">
      <c r="EV46" s="834"/>
      <c r="EW46" s="834"/>
      <c r="EX46" s="834"/>
    </row>
  </sheetData>
  <mergeCells count="51">
    <mergeCell ref="Q2:S2"/>
    <mergeCell ref="B2:D2"/>
    <mergeCell ref="E2:G2"/>
    <mergeCell ref="H2:J2"/>
    <mergeCell ref="K2:M2"/>
    <mergeCell ref="N2:P2"/>
    <mergeCell ref="BA2:BC2"/>
    <mergeCell ref="T2:V2"/>
    <mergeCell ref="W2:Y2"/>
    <mergeCell ref="Z2:AB2"/>
    <mergeCell ref="AC2:AE2"/>
    <mergeCell ref="AF2:AH2"/>
    <mergeCell ref="AI2:AK2"/>
    <mergeCell ref="AL2:AN2"/>
    <mergeCell ref="AO2:AQ2"/>
    <mergeCell ref="AR2:AT2"/>
    <mergeCell ref="AU2:AW2"/>
    <mergeCell ref="AX2:AZ2"/>
    <mergeCell ref="CK2:CM2"/>
    <mergeCell ref="BD2:BF2"/>
    <mergeCell ref="BG2:BI2"/>
    <mergeCell ref="BJ2:BL2"/>
    <mergeCell ref="BM2:BO2"/>
    <mergeCell ref="BP2:BR2"/>
    <mergeCell ref="BS2:BU2"/>
    <mergeCell ref="BV2:BX2"/>
    <mergeCell ref="BY2:CA2"/>
    <mergeCell ref="CB2:CD2"/>
    <mergeCell ref="CE2:CG2"/>
    <mergeCell ref="CH2:CJ2"/>
    <mergeCell ref="DU2:DW2"/>
    <mergeCell ref="CN2:CP2"/>
    <mergeCell ref="CQ2:CS2"/>
    <mergeCell ref="CT2:CV2"/>
    <mergeCell ref="CW2:CY2"/>
    <mergeCell ref="CZ2:DB2"/>
    <mergeCell ref="DC2:DE2"/>
    <mergeCell ref="DF2:DH2"/>
    <mergeCell ref="DI2:DK2"/>
    <mergeCell ref="DL2:DN2"/>
    <mergeCell ref="DO2:DQ2"/>
    <mergeCell ref="DR2:DT2"/>
    <mergeCell ref="EP2:ER2"/>
    <mergeCell ref="ES2:EU2"/>
    <mergeCell ref="EV2:EX2"/>
    <mergeCell ref="DX2:DZ2"/>
    <mergeCell ref="EA2:EC2"/>
    <mergeCell ref="ED2:EF2"/>
    <mergeCell ref="EG2:EI2"/>
    <mergeCell ref="EJ2:EL2"/>
    <mergeCell ref="EM2:EO2"/>
  </mergeCells>
  <pageMargins left="0.31496062992125984" right="0" top="1.1417322834645669" bottom="0.19685039370078741" header="0.31496062992125984" footer="0.31496062992125984"/>
  <pageSetup paperSize="9" scale="70" orientation="landscape" r:id="rId1"/>
</worksheet>
</file>

<file path=xl/worksheets/sheet4.xml><?xml version="1.0" encoding="utf-8"?>
<worksheet xmlns="http://schemas.openxmlformats.org/spreadsheetml/2006/main" xmlns:r="http://schemas.openxmlformats.org/officeDocument/2006/relationships">
  <dimension ref="A1"/>
  <sheetViews>
    <sheetView workbookViewId="0">
      <selection activeCell="A2" sqref="A2"/>
    </sheetView>
  </sheetViews>
  <sheetFormatPr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vt:i4>
      </vt:variant>
    </vt:vector>
  </HeadingPairs>
  <TitlesOfParts>
    <vt:vector size="6" baseType="lpstr">
      <vt:lpstr>frmRRO4</vt:lpstr>
      <vt:lpstr>план 2023 (план, факт)</vt:lpstr>
      <vt:lpstr>план 2024</vt:lpstr>
      <vt:lpstr>Лист1</vt:lpstr>
      <vt:lpstr>frmRRO4!Заголовки_для_печати</vt:lpstr>
      <vt:lpstr>'план 2024'!Заголовки_для_печати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2016-03-29T09:23:23Z</dcterms:created>
  <dcterms:modified xsi:type="dcterms:W3CDTF">2024-05-20T07:28:30Z</dcterms:modified>
</cp:coreProperties>
</file>