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0" windowWidth="16260" windowHeight="10155" activeTab="0"/>
  </bookViews>
  <sheets>
    <sheet name="frmRRO4" sheetId="1" r:id="rId1"/>
    <sheet name="план 2016" sheetId="2" r:id="rId2"/>
    <sheet name="факт 2016" sheetId="3" r:id="rId3"/>
    <sheet name="план 2017" sheetId="4" r:id="rId4"/>
    <sheet name="план 2018" sheetId="5" r:id="rId5"/>
    <sheet name="Лист2" sheetId="6" r:id="rId6"/>
  </sheets>
  <definedNames>
    <definedName name="_xlnm.Print_Titles" localSheetId="0">'frmRRO4'!$2:$5</definedName>
  </definedNames>
  <calcPr fullCalcOnLoad="1"/>
</workbook>
</file>

<file path=xl/sharedStrings.xml><?xml version="1.0" encoding="utf-8"?>
<sst xmlns="http://schemas.openxmlformats.org/spreadsheetml/2006/main" count="2988" uniqueCount="1261">
  <si>
    <t xml:space="preserve">Код строки
</t>
  </si>
  <si>
    <t xml:space="preserve">Код расхода по БК
</t>
  </si>
  <si>
    <t>Объем средств на исполнение расходного обязательства (тыс. руб.)</t>
  </si>
  <si>
    <t>1</t>
  </si>
  <si>
    <t>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</si>
  <si>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1.1.8.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</si>
  <si>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</si>
  <si>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</si>
  <si>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</si>
  <si>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</si>
  <si>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</si>
  <si>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</si>
  <si>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</si>
  <si>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</si>
  <si>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</si>
  <si>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</si>
  <si>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</si>
  <si>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1.4.1.20.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</si>
  <si>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</si>
  <si>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1.4.1.38.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</si>
  <si>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1.4.1.39.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</si>
  <si>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1.4.1.58.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</si>
  <si>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1.4.1.91. обеспечение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</si>
  <si>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</si>
  <si>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</si>
  <si>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1.5.4.2.3.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</si>
  <si>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1.5.4.2.4.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</si>
  <si>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1.5.4.2.19.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</si>
  <si>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1.5.4.2.39.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</si>
  <si>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Правовое основание финансового обеспечения и расходования средств (нормативные правовые   акты, договоры, соглашения)</t>
  </si>
  <si>
    <t xml:space="preserve">Российской Федерации
</t>
  </si>
  <si>
    <t>субъекта Российской Федерации</t>
  </si>
  <si>
    <t>плановый период</t>
  </si>
  <si>
    <t>номер статьи,(подстатьи), пункта (подпункта)</t>
  </si>
  <si>
    <t xml:space="preserve">дата вступления в силу и срок действия
</t>
  </si>
  <si>
    <t>раздел</t>
  </si>
  <si>
    <t>подраздел</t>
  </si>
  <si>
    <t>по плану</t>
  </si>
  <si>
    <t>по факту</t>
  </si>
  <si>
    <t>2</t>
  </si>
  <si>
    <t>3</t>
  </si>
  <si>
    <t>4</t>
  </si>
  <si>
    <t>5</t>
  </si>
  <si>
    <t>6</t>
  </si>
  <si>
    <t>7</t>
  </si>
  <si>
    <t>8</t>
  </si>
  <si>
    <t>10</t>
  </si>
  <si>
    <t>11</t>
  </si>
  <si>
    <t>12</t>
  </si>
  <si>
    <t>13</t>
  </si>
  <si>
    <t>14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</si>
  <si>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</si>
  <si>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</si>
  <si>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 xml:space="preserve">
x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</si>
  <si>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</si>
  <si>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</si>
  <si>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</si>
  <si>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t>
  </si>
  <si>
    <t>01</t>
  </si>
  <si>
    <t>06</t>
  </si>
  <si>
    <t>1.1.3.       владение, пользование и распоряжение имуществом, находящимся в муниципальной собственности муниципального района</t>
  </si>
  <si>
    <t>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</si>
  <si>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1005</t>
  </si>
  <si>
    <t>05</t>
  </si>
  <si>
    <t>02</t>
  </si>
  <si>
    <t>04</t>
  </si>
  <si>
    <t>09</t>
  </si>
  <si>
    <t>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</si>
  <si>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</si>
  <si>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</si>
  <si>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1.1.9.       участие в предупреждении и ликвидации последствий чрезвычайных ситуаций на территории муниципального района</t>
  </si>
  <si>
    <t>03</t>
  </si>
  <si>
    <t>1.1.12.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</si>
  <si>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1.1.13.   организация мероприятий межпоселенческого характера по охране окружающей среды</t>
  </si>
  <si>
    <t>1014</t>
  </si>
  <si>
    <t>1015</t>
  </si>
  <si>
    <t>07</t>
  </si>
  <si>
    <t>1016</t>
  </si>
  <si>
    <t>1.1.16.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</si>
  <si>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1017</t>
  </si>
  <si>
    <t>1.1.19.   формирование и содержание муниципального архива, включая хранение архивных фондов поселений</t>
  </si>
  <si>
    <t>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</si>
  <si>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</si>
  <si>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1.1.24.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</si>
  <si>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1025</t>
  </si>
  <si>
    <t>1031</t>
  </si>
  <si>
    <t>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</si>
  <si>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</si>
  <si>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1.1.32.   организация и осуществление мероприятий межпоселенческого характера по работе с детьми и молодежью</t>
  </si>
  <si>
    <t>1033</t>
  </si>
  <si>
    <t>1.1.47.   организация библиотечного обслуживания населения, комплектование и обеспечение сохранности библиотечных фондов библиотек сельского поселения</t>
  </si>
  <si>
    <t>1048</t>
  </si>
  <si>
    <t>1100</t>
  </si>
  <si>
    <t>1.2.3.       принятие устава муниципального образования и внесение в него изменений и дополнений, издание муниципальных правовых актов</t>
  </si>
  <si>
    <t>1103</t>
  </si>
  <si>
    <t>1105</t>
  </si>
  <si>
    <t>1110</t>
  </si>
  <si>
    <t>1115</t>
  </si>
  <si>
    <t>1.2.17. формирование и использование резервных фондов администраций муниципальных образований для финансирования непредвиденных расходов</t>
  </si>
  <si>
    <t>1117</t>
  </si>
  <si>
    <t>1.2.18. привлечение муниципальным образованием заемных средств, а также обслуживание и погашение муниципального долга</t>
  </si>
  <si>
    <t>1118</t>
  </si>
  <si>
    <t>1200</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</si>
  <si>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</si>
  <si>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1201</t>
  </si>
  <si>
    <t>1.3.1.6. создание условий для развития туризма</t>
  </si>
  <si>
    <t>1207</t>
  </si>
  <si>
    <t>1400</t>
  </si>
  <si>
    <t>1.3.3.1. дополнительные меры социальной поддержки и социальной помощи для отдельных категорий граждан</t>
  </si>
  <si>
    <t>1401</t>
  </si>
  <si>
    <t>1.3.3.2. оказание финансовой поддержки некоммерческим организациям</t>
  </si>
  <si>
    <t>1402</t>
  </si>
  <si>
    <t>1.3.3.3 исполнение судебных актов</t>
  </si>
  <si>
    <t>1403</t>
  </si>
  <si>
    <t>1.3.3.4. выплаты гражданам денежных вознаграждений в связи с присвоением почетных званий, получением наград, поощрений</t>
  </si>
  <si>
    <t>1404</t>
  </si>
  <si>
    <t>1.3.3.5.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</si>
  <si>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1405</t>
  </si>
  <si>
    <t>1500</t>
  </si>
  <si>
    <t>1.4.1. за счет субвенций, предоставленных  из федерального бюджета  или бюджета субъекта Росийской Федерации, всего</t>
  </si>
  <si>
    <t>1501</t>
  </si>
  <si>
    <t>1.4.1.2. по составлению списков кандидатов в присяжные заседатели</t>
  </si>
  <si>
    <t>1503</t>
  </si>
  <si>
    <t>1.4.1.3. на формирование и содержание архивных фондов субъекта Российской Федерации</t>
  </si>
  <si>
    <t>1504</t>
  </si>
  <si>
    <t>1510</t>
  </si>
  <si>
    <t>1521</t>
  </si>
  <si>
    <t>1522</t>
  </si>
  <si>
    <t>1.4.1.26.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</si>
  <si>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</si>
  <si>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1539</t>
  </si>
  <si>
    <t>1.4.1.40. на организацию и осуществление деятельности по опеке и попечительству</t>
  </si>
  <si>
    <t>1.4.1.52.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</si>
  <si>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1.4.1.55. на осуществление уведомительной регистрации региональных соглашений, территориальных соглашений и коллективных договоров</t>
  </si>
  <si>
    <t>1.4.1.67.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</si>
  <si>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1.4.1.92. регистрация и учет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</si>
  <si>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1700</t>
  </si>
  <si>
    <t>1.5.1. по предоставлению дотаций на выравнивание бюджетной обеспеченности городских, сельских поселений, всего</t>
  </si>
  <si>
    <t>1703</t>
  </si>
  <si>
    <t>1.5.3.1. на осуществление воинского учета на территориях, на которых отсутствуют структурные подразделения военных комиссариатов</t>
  </si>
  <si>
    <t>1.5.3.2.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</si>
  <si>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1.5.4. по предоставлению иных межбюджетных трансфертов, всего</t>
  </si>
  <si>
    <t>1800</t>
  </si>
  <si>
    <t>1.5.4.2. в  иных  случаях, не связанных с    заключением   соглашений, предусмотренных в подпункте  1.5.4.1., всего</t>
  </si>
  <si>
    <t>1900</t>
  </si>
  <si>
    <t xml:space="preserve">1.5.4.2.1.  владение, пользование и распоряжение имуществом, находящимся в муниципальной собственности поселения
</t>
  </si>
  <si>
    <t xml:space="preserve">1.5.4.2.2.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t>
  </si>
  <si>
    <t>1902</t>
  </si>
  <si>
    <t>1903</t>
  </si>
  <si>
    <t>1904</t>
  </si>
  <si>
    <t>1.5.4.2.8. участие в предупреждении и ликвидации последствий чрезвычайных ситуаций в границах поселения</t>
  </si>
  <si>
    <t>1908</t>
  </si>
  <si>
    <t>1.5.4.2.9. обеспечение первичных мер пожарной безопасности в границах населенных пунктов поселения</t>
  </si>
  <si>
    <t>1909</t>
  </si>
  <si>
    <t>1.5.4.2.12. создание условий для организации досуга и обеспечения жителей поселения услугами организаций культуры</t>
  </si>
  <si>
    <t>1912</t>
  </si>
  <si>
    <t>1.5.4.2.15.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</si>
  <si>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1915</t>
  </si>
  <si>
    <t>1.5.4.2.18. участие в организации деятельности по сбору (в том числе раздельному сбору) и транспортированию твердых коммунальных отходов</t>
  </si>
  <si>
    <t>1918</t>
  </si>
  <si>
    <t>1919</t>
  </si>
  <si>
    <t>1.5.4.2.27. содействие в развитии сельскохозяйственного производства, создание условий для развития малого и среднего предпринимательства</t>
  </si>
  <si>
    <t>1.5.4.2.41. исполнение судебных актов</t>
  </si>
  <si>
    <t>Итого расходных обязательств муниципальных образований</t>
  </si>
  <si>
    <t>8000</t>
  </si>
  <si>
    <t>Наименование расходного обязательства, вопроса местного значения, полномочия, права муниципального образования</t>
  </si>
  <si>
    <t>2019 год</t>
  </si>
  <si>
    <t>муниципального образования</t>
  </si>
  <si>
    <t>Федеральный Закон от 06.10.2003 № 131-ФЗ "Об общих принципах организации местного самоуправления"</t>
  </si>
  <si>
    <t>Гл.3, ст.15, п.1, п.п.1</t>
  </si>
  <si>
    <t>06.10.2003, не установлен</t>
  </si>
  <si>
    <t xml:space="preserve">Закон Томской области от 11 сентября 2007 г. N 198-ОЗ "О муниципальной службе в Томской области" </t>
  </si>
  <si>
    <t>ст. 11, п. 1</t>
  </si>
  <si>
    <t>01.01.2006, не установлен</t>
  </si>
  <si>
    <t>Федеральный Закон от 02.03.2007 № 25-ФЗ "О муниципальной службе в РФ"</t>
  </si>
  <si>
    <t>Гл. 6-9</t>
  </si>
  <si>
    <t>01.06.2007, не установлен</t>
  </si>
  <si>
    <t xml:space="preserve">Закон Томской области от 09.10.2007 N 223-ОЗ "О муниципальных должностях в Томской области" </t>
  </si>
  <si>
    <t>ст. 5</t>
  </si>
  <si>
    <t>01.01.2008, не установлен</t>
  </si>
  <si>
    <t>Трудовой кодекс РФ</t>
  </si>
  <si>
    <t>ст. 325, 326</t>
  </si>
  <si>
    <t>01.02.2002, не установлен</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</si>
  <si>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</si>
  <si>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ст. 33</t>
  </si>
  <si>
    <t>29.02.1993, не установлен</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</si>
  <si>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</si>
  <si>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01.01.2005, не установлен</t>
  </si>
  <si>
    <t>Постановление Правительства РФ от 13.10.2008 N 749 "Об особенностях направления работников в служебные командировки"</t>
  </si>
  <si>
    <t>17.10.2008, не установлен</t>
  </si>
  <si>
    <t>Закон Томской области от 06.05.2009 N 68-ОЗ "О гарантиях деятельности депутатов представительных органов муниципальных образований, выборных должностных лиц местного самоуправления, лиц, замещающих муниципальные должности, в Томской области"</t>
  </si>
  <si>
    <t>01.01.2009, не установлен</t>
  </si>
  <si>
    <t xml:space="preserve">Закон Томской области от 15.03.2013 N 36-ОЗ "О классных чинах муниципальных служащих в Томской области" </t>
  </si>
  <si>
    <t>01.06.2013, не установлен</t>
  </si>
  <si>
    <t>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от 28.05.2014 № 49, от 27.04.2015 № 33)</t>
  </si>
  <si>
    <t xml:space="preserve">Решение Думы Колпашевского района от 27.03.2013 № 26 "Об утверждении перечня муниципальных должностей и должностей муниципальной службы, квалификационных требований для замещения должностей муниципальной службы в органах местного самоуправления муниципального образования «Колпашевский район» и в органах Администрации Колпашевского района"
</t>
  </si>
  <si>
    <t>Решение Думы Колпашевского района от 29.03.2006 № 121 "Об утверждении Положения об Управлении финансов и экономической политики Администрации Колпашевского района" (в редакции от 29.06.2007№ 331, от 10.09.2012 № 113, от 28.04.2014 № 34)</t>
  </si>
  <si>
    <t>в целом</t>
  </si>
  <si>
    <t>29.03.2006, не установлен</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</si>
  <si>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t>
  </si>
  <si>
    <t>13.08.2014, не установлен</t>
  </si>
  <si>
    <t>Решение Думы Колпашевского района от 16.07.2013 № 64 "Об установлении расчётной единицы"</t>
  </si>
  <si>
    <t>п. 1</t>
  </si>
  <si>
    <t>Постановление Администрации Колпашевского района от 19.12.2008 № 1106 "Об утверждении  Положения  «О порядке установления окладов, об условиях и порядке назначения премий, доплат, надбавок и иных компенсационных и стимулирующих выплат, порядке предоставления ежегодных основных оплачиваемых отпусков, ежегодных дополнительных оплачиваемых отпусков работникам органов местного самоуправления Колпашевского района и работникам органов Администрации Колпашевского района, а также о квалификационных требованиях, устанавливаемых для служащих и рабочих органов местного самоуправления Колпашевского района, органов Администрации Колпашевского района" (В редакции от 16.06.2010№ 791, от 15.03.2011 № 197, от 05.05.2012 № 421,от 29.03.2013 № 37, от 11.11.2013 № 190, от 15.05.2014 № 75)</t>
  </si>
  <si>
    <t>Решение Думы Колпашевского района от 23.04.2012 № 43 "О Cчетной палате Колпашевского района" (в редакции от 05.09.2013 № 83, от 16.12.2013 № 120, от 28.04.2014 № 37, от 02.11.2015 № 10)</t>
  </si>
  <si>
    <t>23.04.2012, не установлен</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</si>
  <si>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</si>
  <si>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п.1-3</t>
  </si>
  <si>
    <t>ст. 15, п.1, п.п. 3</t>
  </si>
  <si>
    <t xml:space="preserve">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t>
  </si>
  <si>
    <t xml:space="preserve">
Гл. 1-2 Положения</t>
  </si>
  <si>
    <t xml:space="preserve">
13.07.2010, не установлен</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</si>
  <si>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23.07.2008 № 514, от 29.09.2010 № 919)</t>
  </si>
  <si>
    <t>Гл. 2-6 Положения</t>
  </si>
  <si>
    <t>01.08.2006, не установлен</t>
  </si>
  <si>
    <t>01.01.2016- 31.12.2016</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</si>
  <si>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t>
  </si>
  <si>
    <t>01.01.2014, не установлен</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</si>
  <si>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</si>
  <si>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Гл.3, ст.15, п.1, п.п.5</t>
  </si>
  <si>
    <t>п.2 п.п3, п.17</t>
  </si>
  <si>
    <t>13.05.2010, не установлен</t>
  </si>
  <si>
    <t>Проект на 2016 год</t>
  </si>
  <si>
    <t>Постановление Администрации Колпашевского района от 08.05.2015 № 473 "Об утверждении порядка и условий предоставления субсидии на возмещение недополученных доходов от предоставления льготных услуг по перевозке населения по социально-значимому автобусному маршруту № 150а "Колпашево - Усть-Чая - Чажемто" (в редакции от 23.12.2015 № 1370)</t>
  </si>
  <si>
    <t>08.05.2015- 01.03.2016</t>
  </si>
  <si>
    <t>Гл.3, ст.15, п.1, п.п.6</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</si>
  <si>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</si>
  <si>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</si>
  <si>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</si>
  <si>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п.3 Положения</t>
  </si>
  <si>
    <t>27.02.2007- не установлен</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</si>
  <si>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t>
  </si>
  <si>
    <t>п.1</t>
  </si>
  <si>
    <t>10.09.2012, не установлен</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</si>
  <si>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 от 19.12.2012 № 151, от 29.04.2013 № 33, от 25.11.2013 № 102, от 17.03.2014 № 18, от 27.10.2014 № 117, от 26.01.2015 № 7)</t>
  </si>
  <si>
    <t>Гл. 1-2 Положения</t>
  </si>
  <si>
    <t>13.07.2010, не установлен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</si>
  <si>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</si>
  <si>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</si>
  <si>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</si>
  <si>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</si>
  <si>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</si>
  <si>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</si>
  <si>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</si>
  <si>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Гл.3, ст.15, п.1, п.п.8.2</t>
  </si>
  <si>
    <t>1.1.1.1. расходы на обеспечение деятельности УФЭП</t>
  </si>
  <si>
    <t>в том числе:</t>
  </si>
  <si>
    <t>1.1.1.2. расходы на обеспечение деятельности Счетной палаты Колпашевского района</t>
  </si>
  <si>
    <t>1.1.1.3 осуществление муниципальных закупок в целях автоматизации бюджетного процесса по казначейскому исполнению бюджета</t>
  </si>
  <si>
    <t>1.1.3.1. мероприятия по управлению и распоряжению имуществом, находящимся в казне муниципального образования "Колпашевский район"</t>
  </si>
  <si>
    <t>(721)</t>
  </si>
  <si>
    <t>1.1.5.1. содержание и ремонт автомобильных дорог общего пользования</t>
  </si>
  <si>
    <t>(687)</t>
  </si>
  <si>
    <t>1.1.6.1.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речным транспортом</t>
  </si>
  <si>
    <t>1009 (707)</t>
  </si>
  <si>
    <t>1.1.9.1. участие в предупреждении и ликвидации последствий чрезвычайных ситуаций на территории муниципального района</t>
  </si>
  <si>
    <t>(722)</t>
  </si>
  <si>
    <t>(803)</t>
  </si>
  <si>
    <t>(718)</t>
  </si>
  <si>
    <t>1013 (726)</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</si>
  <si>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</si>
  <si>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п.1-3 Положения</t>
  </si>
  <si>
    <t>01.07.2007, не установлен</t>
  </si>
  <si>
    <t xml:space="preserve">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
</t>
  </si>
  <si>
    <t>Гл.3, ст.15, п.1, п.п. 14</t>
  </si>
  <si>
    <t>Гл.3, ст.15</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</si>
  <si>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</si>
  <si>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</si>
  <si>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</si>
  <si>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</si>
  <si>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</si>
  <si>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</si>
  <si>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1.1.19.1. развитие архивного дела в Колпашевском районе</t>
  </si>
  <si>
    <t>1.1.19.2. Субсидия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</si>
  <si>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Гл.3, ст.15, п. 1, п.п. 16</t>
  </si>
  <si>
    <t>Решение Думы Колпашевского района от 28.12.2005 № 50 "Об утверждении Положения о муниципальном архиве Колпашевского района"</t>
  </si>
  <si>
    <t>п. 2-3 Положений</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</si>
  <si>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</si>
  <si>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п. 2, п.п. 53</t>
  </si>
  <si>
    <t>1.1.23.1. обеспечение деятельности учреждений культуры и мероприятия в области культуры</t>
  </si>
  <si>
    <t>Гл.3, ст.15, часть 1, п.19.1</t>
  </si>
  <si>
    <t>Закон Томской области от 13.06.2007 № 112-ОЗ "О реализации государственной политики в сфере культуры и искусства 
на территории Томской области"</t>
  </si>
  <si>
    <t>ст. 10</t>
  </si>
  <si>
    <t>08.07.2007, не установлен</t>
  </si>
  <si>
    <t>п. 2, п.п. 2</t>
  </si>
  <si>
    <t>п.1-5</t>
  </si>
  <si>
    <t>Постановление Администрации Колпашевского района от 30.12.2013 № 1404 "Об утверждении муниципальной программы "Развитие культуры в Колпашевском районе на 2014-2017 годы" (в редакции от 21.03.2014 № 269, от 20.06.2014 № 584, от 24.09.2014 № 916, от 13.10.2014 № 1181, от 07.11.2014 № 1293, от 14.11.2014 № 1322, от 17.12.2014 № 1492, от 30.12.2014 № 1643, от 06.03.2015 № 276, от 13.04.2015 № 399, от 29.07.2015 № 732, от 29.09.2015 № 997, от 29.10.2015 № 1096, от 17.12.2015 № 1320)</t>
  </si>
  <si>
    <t>01.01.2014- 31.12.2017</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</si>
  <si>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t>
  </si>
  <si>
    <t>01.01.2015, не установлен</t>
  </si>
  <si>
    <t>1.1.23.2. субсидии местным бюджетам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</si>
  <si>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1.1.23.4. межбюджетные трансферты из резервного фонда финансирования непредвиденных расходов Администрации Томской области</t>
  </si>
  <si>
    <t>1.1.23.3. субсидии местным бюджетам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</si>
  <si>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1.1.30.1. мроприятия в области сельскохозяйственного производства</t>
  </si>
  <si>
    <t>Гл.3, ст.15, п.1, п.п. 25</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</si>
  <si>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t>
  </si>
  <si>
    <t>01.01.2013, не установлен</t>
  </si>
  <si>
    <t xml:space="preserve">Постановление Главы Колпашевского района от 19.09.2008 № 850 "Об утверждении Положения о конкурсе "Лучший предпринимательский проект "стартующего бизнеса" в муниципальном образовании "Колпашевский район" 
(в редакции постановлений Главы Колпашевского района от 27.01.2009 № 29, от 27.08.2009 № 869, от 18.12.2009 № 1352, постановлений Администрации Колпашевского района от 21.04.2010 № 591, от 28.10.2011 № 1124, от 17.04.2012 № 367, от 06.08.2012  № 765, от 19.11.2012 № 1146, от 10.12.2012 № 1235, от 28.06.2013 № 623, от 27.09.2013 № 1027, от 05.02.2014 № 95, от 10.11.2014 № 1294, от 16.12.2015 № 1306)
</t>
  </si>
  <si>
    <t>19.09.2008, не установлен</t>
  </si>
  <si>
    <t>Постановление Администрации Томской области от 25.11.2010 N 232а "Об утверждении долгосрочной целевой программы "Развитие малого и среднего предпринимательства в Томской области на период 2011-2014 годов"</t>
  </si>
  <si>
    <t>01.01.2011- 31.12.2015</t>
  </si>
  <si>
    <t>Постановление Администрации Колпашевского района от 02.02.2010 № 151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18.12.2010 № 1539, от 26.08.2011 № 871, от 12.12.2011 № 1302, от 29.03.2012 № 288, от 04.09.2012 № 884, от 16.11.2012 № 1139, от 29.04.2013 № 405, от 27.01.2014 № 64, от 14.11.2014 № 1327, от 24.04.2015 № 445, от 27.10.2015 № 1082, от 17.11.2015 № 1162)</t>
  </si>
  <si>
    <t>01.01.2013- 31.12.2018</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</si>
  <si>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 (в редакции от 14.03.2013 № 239, от 12.07.2013 № 694, от 05.08.2013 № 782, от 04.09.2013 № 921, от 07.04.2014 № 320, от 20.06.2014 № 582, от 15.10.2014 № 1197, от 13.03.2015 № 292, от 07.08.2015 № 753, от 05.11.2015 № 1123)</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</si>
  <si>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</si>
  <si>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29.04.2013, не установлен</t>
  </si>
  <si>
    <t>Постановление Правительства РФ от 15.07.2013 N 598 "О федеральной целевой программе "Устойчивое развитие сельских территорий на 2014 - 2017 годы и на период до 2020 года"</t>
  </si>
  <si>
    <t>п.4 Программы</t>
  </si>
  <si>
    <t>01.08.2013- 31.12.2020</t>
  </si>
  <si>
    <t>Постановление Администрации Томской области от 12.12.2014 N 485а "Об утверждении государственной программы "Развитие сельского хозяйства и регулируемых рынков в Томской области"</t>
  </si>
  <si>
    <t>п.3 Программы</t>
  </si>
  <si>
    <t>01.01.2015- 31.12.2020</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</si>
  <si>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t>
  </si>
  <si>
    <t>29.04.2013- 31.12.2020</t>
  </si>
  <si>
    <t>1.1.31.1. обеспечение условий для развитие физической культуры  и массового спорта</t>
  </si>
  <si>
    <t>1.1.31.2. субсидиии местным бюджетам на обеспечение условий для развития физической культуры и массового спорта</t>
  </si>
  <si>
    <t>1.1.31.3.физкультурно-оздоровительная работа</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</si>
  <si>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</si>
  <si>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ст. 1</t>
  </si>
  <si>
    <t>07.01.2007, не установлен</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</si>
  <si>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t>
  </si>
  <si>
    <t>01.01.2016- 31.12.2021</t>
  </si>
  <si>
    <t>Гл.3, ст.15, п.1, п.п.26</t>
  </si>
  <si>
    <t xml:space="preserve">п. 2-5 Положения,      </t>
  </si>
  <si>
    <t>30.03.2007, не установлен</t>
  </si>
  <si>
    <t xml:space="preserve">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</si>
  <si>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 xml:space="preserve">Федеральный Закон от 06.10.2003 № 131-ФЗ "Об общих принципах организации местного самоуправления" </t>
  </si>
  <si>
    <t>Гл.3, ст.15, п.1, п.п.27</t>
  </si>
  <si>
    <t>Закон Томской области от 06.04.2009 N 47-ОЗ "О профилактике правонарушений в Томской области"</t>
  </si>
  <si>
    <t>Гл. 4</t>
  </si>
  <si>
    <t>25.04.2009, не установлен</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</si>
  <si>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t>
  </si>
  <si>
    <t>01.01.2007, не установлен</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</si>
  <si>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t>
  </si>
  <si>
    <t>Программа</t>
  </si>
  <si>
    <t>01.01.2016- 31.12.2020</t>
  </si>
  <si>
    <t>(684)</t>
  </si>
  <si>
    <t>(618)</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</si>
  <si>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</si>
  <si>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</si>
  <si>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</si>
  <si>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1.2.1.       функционирование органов местного самоуправления</t>
  </si>
  <si>
    <t>ст. 34</t>
  </si>
  <si>
    <t>ст. 9-13</t>
  </si>
  <si>
    <t>Решение Думы Колпашевского района от 08.10.2005 № 418 "Об утверждении положений " (Приложение 1)</t>
  </si>
  <si>
    <t xml:space="preserve">п.2-4 Положения </t>
  </si>
  <si>
    <t xml:space="preserve">01.01.2006, не установлен </t>
  </si>
  <si>
    <t>ст.34, п.9</t>
  </si>
  <si>
    <t>06.10.2003, не утановлен</t>
  </si>
  <si>
    <t>п.2-4 Положения             п.1</t>
  </si>
  <si>
    <t>01.01.2006, не установлен            01.01.2009, не установлен</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</si>
  <si>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t>
  </si>
  <si>
    <t>п.1-2</t>
  </si>
  <si>
    <t>31.05.2006, не установлен</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</si>
  <si>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</si>
  <si>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01.04.2015, не установлен</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</si>
  <si>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t>
  </si>
  <si>
    <t>1.2.5.1. обеспечение деятельности муниципальных учреждений</t>
  </si>
  <si>
    <t>ст.17, п.1, п.п. 3</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</si>
  <si>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</si>
  <si>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п. 1-4</t>
  </si>
  <si>
    <t>14.07.2006, не установлен</t>
  </si>
  <si>
    <t>ст. 325,326</t>
  </si>
  <si>
    <t>Постановление Правительства РФ от 30.12.2003 N 794 "О единой государственной системе предупреждения и ликвидации чрезвычайных ситуаций"</t>
  </si>
  <si>
    <t>п.8, п.9, п.20, п.30</t>
  </si>
  <si>
    <t>20.01.2004,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</si>
  <si>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</si>
  <si>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п. 32</t>
  </si>
  <si>
    <t>17.08.2007, не установлен</t>
  </si>
  <si>
    <t>Постановление Администрации Колпашевского района от 20.11.2015 № 1176 "Об утверждении положения о единой дежурно-диспетчерской службе Колпашевского района"</t>
  </si>
  <si>
    <t>20.11.2015, не установлен</t>
  </si>
  <si>
    <t>ст.57, п.1, п.2</t>
  </si>
  <si>
    <t>25.06.2002, не установлен</t>
  </si>
  <si>
    <t>ст. 22, п.1</t>
  </si>
  <si>
    <t>29.01.2007, не установлен</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</si>
  <si>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</si>
  <si>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</si>
  <si>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</si>
  <si>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</si>
  <si>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</si>
  <si>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</si>
  <si>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</si>
  <si>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</si>
  <si>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</si>
  <si>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</si>
  <si>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</si>
  <si>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</si>
  <si>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</si>
  <si>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</si>
  <si>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Гл.3, ст.17, п. 1, п.п. 8.1.</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</si>
  <si>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</si>
  <si>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п. 1-3</t>
  </si>
  <si>
    <t xml:space="preserve">01.01.2012, не установлен </t>
  </si>
  <si>
    <t>(659)</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</si>
  <si>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</si>
  <si>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 1,3</t>
  </si>
  <si>
    <t>Постановление Правительства РФ от 17.12.2010 N 1050 "О федеральной целевой программе "Жилище" на 2011 - 2015 годы"</t>
  </si>
  <si>
    <t>01.01.2010 -31.12.2015</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</si>
  <si>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</si>
  <si>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</si>
  <si>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</si>
  <si>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(603) (802)</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</si>
  <si>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</si>
  <si>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01.01.2014- 31.12.2016</t>
  </si>
  <si>
    <t>Федеральный Закон от 12.01.1996 № 7-ФЗ "О некоммерческих организациях"</t>
  </si>
  <si>
    <t>ст. 31</t>
  </si>
  <si>
    <t>24.01.1996, не установлен</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</si>
  <si>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</si>
  <si>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25.11.2013, не установлен</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</si>
  <si>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</si>
  <si>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ст.8</t>
  </si>
  <si>
    <t>23.12.1998,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</si>
  <si>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</si>
  <si>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25.11.2011, не установлен</t>
  </si>
  <si>
    <t>ст.15.1, п.2</t>
  </si>
  <si>
    <t>Ст. 4, п. 2,3 Положения</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</si>
  <si>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</si>
  <si>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Гл. 6- 9 Положения</t>
  </si>
  <si>
    <t>31.10.2006, не установлен</t>
  </si>
  <si>
    <t>п.2</t>
  </si>
  <si>
    <t>19.12.2012, не установлен</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</si>
  <si>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</si>
  <si>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</si>
  <si>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</si>
  <si>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Решение Думы Колпашевского района от 28.02.2006 № 82 "О вступлении в Совет Муниципальных образований Томской области" (в редакции от 22.12.2006 № 255, от 26.02.2010 № 814 )</t>
  </si>
  <si>
    <t>28.02.2006, не установлен</t>
  </si>
  <si>
    <t>Федеральный закон от 20.08.2004 N 113-ФЗ "О присяжных заседателях федеральных судов общей юрисдикции в Российской Федерации"</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</si>
  <si>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</si>
  <si>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</si>
  <si>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</si>
  <si>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</si>
  <si>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01.07.2010 - до окончания срока действия ЗТО от 29.12.2007 № 320-ОЗ</t>
  </si>
  <si>
    <t>Федеральный закон от 22.10.2004 N 125-ФЗ "Об архивном деле в Российской Федерации"</t>
  </si>
  <si>
    <t>ст. 4, п. 2; ст. 4, п. 5</t>
  </si>
  <si>
    <t>27.10.2004, не установлен</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</si>
  <si>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</si>
  <si>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п. 4-7</t>
  </si>
  <si>
    <t>вводиться в действие ежегодно</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</si>
  <si>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t>
  </si>
  <si>
    <t>п.1-4</t>
  </si>
  <si>
    <t>01.07.2010, до окончания срока действия ЗТО от 10.11.2006 № 261-ОЗ</t>
  </si>
  <si>
    <t>ст. 60, п. 3</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</si>
  <si>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</si>
  <si>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п. 1-5</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</si>
  <si>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</si>
  <si>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01.07.2010, до окончания действия ЗТО от 14.10.2005 № 191-ОЗ</t>
  </si>
  <si>
    <t>Федеральный закон от 29 декабря 2012 г. N 273-ФЗ
"Об образовании в Российской Федерации"</t>
  </si>
  <si>
    <t>01.09.2013, не установлен</t>
  </si>
  <si>
    <t>Закон Томской области от 09.12.2013 N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</si>
  <si>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п. 1-2</t>
  </si>
  <si>
    <t>ст. 1-2</t>
  </si>
  <si>
    <t>Решение Думы Колпашевского района от 25.03.2015 № 15 "О мерах по реализации Закона Томской области от 30.12.2014 № 200-ОЗ "Об утверждении Методики расчёта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</si>
  <si>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ст.47, ч.5, п.7</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</si>
  <si>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</si>
  <si>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ст. 2-5</t>
  </si>
  <si>
    <t>01.01.2006 вводится в действие ежегодно</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</si>
  <si>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</si>
  <si>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 xml:space="preserve">01.07.2010-до окончания срока действия ЗТО от 15.12.2004 № 248-ОЗ </t>
  </si>
  <si>
    <t>ст. 8</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</si>
  <si>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</si>
  <si>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</si>
  <si>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</si>
  <si>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</si>
  <si>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 xml:space="preserve">01.07.2010, до окончания срока действия ЗТО от 11.09.2007 № 188-ОЗ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</si>
  <si>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</si>
  <si>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</si>
  <si>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</si>
  <si>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</si>
  <si>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п.1.3.</t>
  </si>
  <si>
    <t xml:space="preserve">01.07.2010- до окончания срока действия ЗТО от 15.12.2004 № 246-ОЗ </t>
  </si>
  <si>
    <t>ст.47</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</si>
  <si>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</si>
  <si>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ст.5</t>
  </si>
  <si>
    <t>01.01.2014, вводится в действие ежегодно ЗТО о бюджете ТО</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</si>
  <si>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t>
  </si>
  <si>
    <t>01.01.2014, до окончания действия ЗТО от 09.12.2013 № 214-ОЗ</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</si>
  <si>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</si>
  <si>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</si>
  <si>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ст.1 п.п.5)</t>
  </si>
  <si>
    <t>вводится в действие ежегодно</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</si>
  <si>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t>
  </si>
  <si>
    <t>п.1.3</t>
  </si>
  <si>
    <t>01.07.2010, до окончания срока действия ЗТО от 15.12.2004 № 246-ОЗ</t>
  </si>
  <si>
    <t>Кодекс Российской Федерации об административных правонарушениях
от 30 декабря 2001 г. N 195-ФЗ</t>
  </si>
  <si>
    <t>ст.22.1</t>
  </si>
  <si>
    <t>01.07.2002, не установлен</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</si>
  <si>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</si>
  <si>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ст.4</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</si>
  <si>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</si>
  <si>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01.07.2010, до окончания срока действия ЗТО от 24.11.2009 № 261-ОЗ</t>
  </si>
  <si>
    <t>Федеральный закон от 24.06.1999 N 120-ФЗ "Об основах системы профилактики безнадзорности и правонарушений несовершеннолетних"</t>
  </si>
  <si>
    <t>ст. 2, п.п.2; ст. 11, п.п. 1;  ст. 25, п.п. 1, п.п. 3</t>
  </si>
  <si>
    <t>28.06.1999, не установлен</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</si>
  <si>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</si>
  <si>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Ст. 1-3</t>
  </si>
  <si>
    <t>вводится ежегодно ЗТО об областном бюджете на очередной финансовый год</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</si>
  <si>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</si>
  <si>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</si>
  <si>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27.12.1998, не установлен</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</si>
  <si>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</si>
  <si>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</si>
  <si>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01.07.2010, до окнчания срока действия ЗТО от 28.12.2007 № 298-ОЗ</t>
  </si>
  <si>
    <t>1541 (556,  606)</t>
  </si>
  <si>
    <t>1540 (551,  554)</t>
  </si>
  <si>
    <t>1553 (558)</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</si>
  <si>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</si>
  <si>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 7 п.1</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</si>
  <si>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</si>
  <si>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01.07.2010- до окончания срока действия ЗТО от 07.07.2009 № 104-ОЗ</t>
  </si>
  <si>
    <t>1556 (557)</t>
  </si>
  <si>
    <t>Трудовой кодекс Российской Федерации от 30 декабря 2001 г. N 197-ФЗ (ТК РФ)</t>
  </si>
  <si>
    <t>ст. 407</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</si>
  <si>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</si>
  <si>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</si>
  <si>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</si>
  <si>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1559 (690)</t>
  </si>
  <si>
    <t>Постановление Главного государственного санитарного врача РФ от 6 мая 2010 г. N 54
"Об утверждении СП 3.1.7.2627-10"</t>
  </si>
  <si>
    <t>раздел IX, п. 9.2.</t>
  </si>
  <si>
    <t>06.05.2010, не установлен</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</si>
  <si>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</si>
  <si>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</si>
  <si>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</si>
  <si>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</si>
  <si>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</si>
  <si>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</si>
  <si>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</si>
  <si>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</si>
  <si>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ст. 2-4</t>
  </si>
  <si>
    <t>01.05.2006 вводиться в действие ежегодно</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</si>
  <si>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</si>
  <si>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п.1-6</t>
  </si>
  <si>
    <t>01.07.2010-До окончания срока действия ЗТО от 18.03.2003 № 36-ОЗ</t>
  </si>
  <si>
    <t>1568 (581)</t>
  </si>
  <si>
    <t>1592 (572)</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</si>
  <si>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</si>
  <si>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</si>
  <si>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</si>
  <si>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</si>
  <si>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1593 (553)</t>
  </si>
  <si>
    <t>Федеральный закон от 25.10.2002 № 125-ФЗ "О жилищных субсидиях гражданам, выезжающим из районов Крайнего Севера и приравненных к ним местностей"</t>
  </si>
  <si>
    <t>ст. 3</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</si>
  <si>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</si>
  <si>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</si>
  <si>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08.05.2006, вводиться ежегодно ЗТО "Об областном бюджете на очередной финансовый год"</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</si>
  <si>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</si>
  <si>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01.01.2011, не установлен</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</si>
  <si>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t>
  </si>
  <si>
    <t>01.01.2013 не установлен</t>
  </si>
  <si>
    <t>Гл.3, ст.15, п. 1, п.п. 20</t>
  </si>
  <si>
    <t>ст. 15</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</si>
  <si>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t>
  </si>
  <si>
    <t>16.07.2012, не установлен</t>
  </si>
  <si>
    <t>1701 (605)</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</si>
  <si>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</si>
  <si>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</si>
  <si>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</si>
  <si>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</si>
  <si>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1705 (552, 582)</t>
  </si>
  <si>
    <t>1704 (584)</t>
  </si>
  <si>
    <t>Решение Думы Колпашевского района от 17.03.2014 № 19 "О порядке предоставления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</si>
  <si>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17.03.2014, не установлен</t>
  </si>
  <si>
    <t>Решение Думы Колпашевского района от 29.05.2015 № 46 "О порядке предоставления иных межбюджетных трансфертов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поселениям Колпашевского района"</t>
  </si>
  <si>
    <t>29.05.2015, не установлен</t>
  </si>
  <si>
    <t>21.12.2015- 25.12.2015</t>
  </si>
  <si>
    <t>(301)</t>
  </si>
  <si>
    <t>(303)</t>
  </si>
  <si>
    <t>(311)</t>
  </si>
  <si>
    <t>(315)</t>
  </si>
  <si>
    <t>(317)</t>
  </si>
  <si>
    <t>(327)</t>
  </si>
  <si>
    <t>(328)</t>
  </si>
  <si>
    <t>(332)</t>
  </si>
  <si>
    <t>(334)</t>
  </si>
  <si>
    <t>(346)</t>
  </si>
  <si>
    <t>(347)</t>
  </si>
  <si>
    <t>(349)</t>
  </si>
  <si>
    <t>(351)</t>
  </si>
  <si>
    <t>(353)</t>
  </si>
  <si>
    <t>(354)</t>
  </si>
  <si>
    <t>(579)</t>
  </si>
  <si>
    <t>п. 2, п.п. 3</t>
  </si>
  <si>
    <t>(318)</t>
  </si>
  <si>
    <t>(320)</t>
  </si>
  <si>
    <t>1.5.4.2.3.1. ИМБТ на ремонт автомобильных дорог общего пользования местного значения в границах населенных пунктов сельских поселений муниципального образования "Колпашевский район"</t>
  </si>
  <si>
    <t>(300)</t>
  </si>
  <si>
    <t>(333)</t>
  </si>
  <si>
    <t>(338)</t>
  </si>
  <si>
    <t>(350)</t>
  </si>
  <si>
    <t>(335)</t>
  </si>
  <si>
    <t>(336)</t>
  </si>
  <si>
    <t>(337)</t>
  </si>
  <si>
    <t>(326)</t>
  </si>
  <si>
    <t>(340)</t>
  </si>
  <si>
    <t>(341)</t>
  </si>
  <si>
    <t>(308)</t>
  </si>
  <si>
    <t>(309)</t>
  </si>
  <si>
    <t>(319)</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</si>
  <si>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</si>
  <si>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(714)</t>
  </si>
  <si>
    <t>1.5.4.2.15.1. субсидии местным бюджетам на обеспечение условий для развития физической культуры и массового спорта</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</si>
  <si>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</si>
  <si>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ст.1</t>
  </si>
  <si>
    <t>(310)</t>
  </si>
  <si>
    <t>(322)</t>
  </si>
  <si>
    <t>(306)</t>
  </si>
  <si>
    <t>(321)</t>
  </si>
  <si>
    <t>(330)</t>
  </si>
  <si>
    <t>(331)</t>
  </si>
  <si>
    <t>(343)</t>
  </si>
  <si>
    <t>(345)</t>
  </si>
  <si>
    <t>(348)</t>
  </si>
  <si>
    <t>(723)</t>
  </si>
  <si>
    <t>Постановление Администрации Колпашевского района от 01.10.2015 № 1015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2015 году"</t>
  </si>
  <si>
    <t>01.10.2015- 01.11.2015</t>
  </si>
  <si>
    <t>1939 (357)</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</si>
  <si>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</si>
  <si>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(725) (806)</t>
  </si>
  <si>
    <t>1.5.4.2.33.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</si>
  <si>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1933 (805)</t>
  </si>
  <si>
    <t>(617)</t>
  </si>
  <si>
    <t>(801)</t>
  </si>
  <si>
    <t>1.1.14.1. организация предоставления общедоступного и бесплатного начального общего , основного общего, среднего (полного) общего образования,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t>
  </si>
  <si>
    <t xml:space="preserve">ст. 15, ч. 1, п 11.                                                                                                                                                                          </t>
  </si>
  <si>
    <t>ст. 22</t>
  </si>
  <si>
    <t>Решение Думы Колпашевского района от 28.08.2009 № 691 "О введении НСОТ работников муниципальных общеобразовательных учреждений" (в редакции от 07.12.2009 № 742, от 25.12.2009 № 755, от 24.05.2010 № 838, от 24.05.2012 № 83, от 28.05.2014 № 50, от 27.04.2015 № 35)</t>
  </si>
  <si>
    <t>1.1.14.2. компенсация расходов на питание обучающимся общеобразовательных учреждений</t>
  </si>
  <si>
    <t xml:space="preserve">01.09.2013, не установлен </t>
  </si>
  <si>
    <t xml:space="preserve">Закон Томской области от 28.12.2010 N 336-ОЗ "О предоставлении межбюджетных трансфертов" </t>
  </si>
  <si>
    <t>абз 7 п.1 ст.1</t>
  </si>
  <si>
    <t>(570)</t>
  </si>
  <si>
    <t>ст. 23</t>
  </si>
  <si>
    <t>1.1.14.3. Создание условий для осуществления присмотра и ухода за детьми, содержание детей в муниципальных образовательных организациях</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</si>
  <si>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</si>
  <si>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1.1.14.4. организация предоставления дополнительного образования на территории муниципального района</t>
  </si>
  <si>
    <t>1.1.14.5. Организация отдыха детей в каникулярное время</t>
  </si>
  <si>
    <t xml:space="preserve">28.04.2008, не установлен </t>
  </si>
  <si>
    <t>п.2 п.п.8), п.22</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</si>
  <si>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 (в редакции от 17.03.2014 № 233)</t>
  </si>
  <si>
    <t>20.03.2013, не установлен</t>
  </si>
  <si>
    <t>(578)</t>
  </si>
  <si>
    <t xml:space="preserve"> ст. 40, ч.2 </t>
  </si>
  <si>
    <t xml:space="preserve">01.09.2013, не указан </t>
  </si>
  <si>
    <t>01.09.2019, не установлен</t>
  </si>
  <si>
    <t>01.01.2010, не установлен</t>
  </si>
  <si>
    <t>1.1.14.6. расходы на организацию проведения  районных мероприятий в сфере образования</t>
  </si>
  <si>
    <t xml:space="preserve">ст. 15 , ч.11 </t>
  </si>
  <si>
    <t>(610)</t>
  </si>
  <si>
    <t>01.01.2013, по 31.08.2013</t>
  </si>
  <si>
    <t>01.04.2013, не установлен</t>
  </si>
  <si>
    <t>п.2, пп.66</t>
  </si>
  <si>
    <t>(574)</t>
  </si>
  <si>
    <t>(683)</t>
  </si>
  <si>
    <t>п.2 подпункт 51</t>
  </si>
  <si>
    <t>(679)</t>
  </si>
  <si>
    <t>п.2 подпункт 50</t>
  </si>
  <si>
    <t>(680)</t>
  </si>
  <si>
    <t>п.2 подпункт 52</t>
  </si>
  <si>
    <t>(613)</t>
  </si>
  <si>
    <t xml:space="preserve"> ст. 47, ч.5, п. 7</t>
  </si>
  <si>
    <t>(612)</t>
  </si>
  <si>
    <t xml:space="preserve"> 01.09.2013, не установлен </t>
  </si>
  <si>
    <t>(811)</t>
  </si>
  <si>
    <t xml:space="preserve"> ст. 36, ч.13</t>
  </si>
  <si>
    <t>(702)</t>
  </si>
  <si>
    <t xml:space="preserve"> ст. 36, ч.14</t>
  </si>
  <si>
    <t>п.1,2</t>
  </si>
  <si>
    <t>решение Думы Колпашевского района от 30.07.2007 № 344  "О порядке финансирования муниципальных общеобразовательных учреждений" (в редакции решений от 26.12.2007 № 407, 28.02.2008 № 437, 23.07.2008 № 509, 02.07.2009 № 676, 26.02.2010 № 800, 13.07.2010 № 876, 24.12.2010 № 33, 25.04.2011 № 38, 29.08.2011 № 89, 23.04.2012 №50, от 16.07.2012 № 97, от 05.09.2013 № 68, от 13.08.2014 № 74, от 31.07.2015 № 67)</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</si>
  <si>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</si>
  <si>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t>
  </si>
  <si>
    <t>(724) (804)</t>
  </si>
  <si>
    <t>1.1.6.2.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автомобильным транспортом</t>
  </si>
  <si>
    <t>1.1.31.4. субсидии местным бюджетам на обеспечение участия спортивных сборных команд муниципальных районов и городских округов Томской области в официальных региональных региональных спортивных, физкультурных мероприятиях, проводимых на территории Томской области</t>
  </si>
  <si>
    <t>(660)</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</si>
  <si>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</si>
  <si>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ст. 15, п.1, п.п. 4</t>
  </si>
  <si>
    <t>Гл.3, ст.15, п.1, п.п.6.2.</t>
  </si>
  <si>
    <t>Гл.3, ст.15, п.1, п.п. 9</t>
  </si>
  <si>
    <t>Решение Думы Колпашевского района от 30.07.2007 № 344  "О порядке финансирования муниципальных общеобразовательных учреждений" (в редакции решений от 26.12.2007 № 407, 28.02.2008 № 437, 23.07.2008 № 509, 02.07.2009 № 676, 26.02.2010 № 800, 13.07.2010 № 876, 24.12.2010 № 33, 25.04.2011 № 38, 29.08.2011 № 89, 23.04.2012 №50, от 16.07.2012 № 97, от 05.09.2013 № 68, от 13.08.2014 № 74, от 31.07.2015 № 67)</t>
  </si>
  <si>
    <t xml:space="preserve">ст. 15, п. 1, п.п 11.                                                                                                                                                                          </t>
  </si>
  <si>
    <t>ст. 22, 23, 24</t>
  </si>
  <si>
    <t xml:space="preserve"> ст. 8, 9</t>
  </si>
  <si>
    <t xml:space="preserve">ст. 15, п.1, п.п. 11.                                                                                                                                                                                </t>
  </si>
  <si>
    <t>ст. 15, ч.1, п. 11.</t>
  </si>
  <si>
    <t xml:space="preserve">  ст. 9, ч.1, п. 2,5</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</si>
  <si>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решений от 29.05.2015 № 44, от 29.02.2016 № 8)</t>
  </si>
  <si>
    <t>Решение Думы Колпашевского района от 15.12.2014 № 136 "О финансировании за счет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О.Рахматулиной""</t>
  </si>
  <si>
    <t>Постановление Губернатора ТО от 10.02.2012 № 13 "Об учреждении ежемесячной стипендии Губернатора Томской облатси молодым учителям областных государственных и муниципальных образовательных  учреждений Томской области"</t>
  </si>
  <si>
    <t>Постановление Губернатора ТО от 16.03.2012 № 28 "Об учреждении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</si>
  <si>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 xml:space="preserve">Закон Томской области от 12.08.2013 № 149-ОЗ "Об образовании в Томской области" </t>
  </si>
  <si>
    <t xml:space="preserve"> Федеральный закон от 29.12.2012 № 273-ФЗ "Об образовании в Российской Федерации" </t>
  </si>
  <si>
    <t>Федеральный закон от 06.10.2003 № 131-ФЗ "Об общих принципах организации местного самоуправления в РФ"</t>
  </si>
  <si>
    <t xml:space="preserve"> Закон Томской области от 28.12.2010 № 336-ОЗ «О предоставлении межбюджетных трансфертов»</t>
  </si>
  <si>
    <t>Постановление Администрации Томской области от 13.05.2010 № 94а «О Порядке предоставления из областного бюджета субсидий бюджетам муниципальных образований Томской области и их расходования»</t>
  </si>
  <si>
    <t>Гл.3, ст.15, п.1, п.п.12</t>
  </si>
  <si>
    <t>Гл.3, ст.15, часть 1, п.19.2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</si>
  <si>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</si>
  <si>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 xml:space="preserve">Закон Томской области от 11.09.2007 N 198-ОЗ "О муниципальной службе в Томской области" </t>
  </si>
  <si>
    <t xml:space="preserve">Закон Томской области от 14.05.2005 N 78-ОЗ "О гарантиях и компенсациях за счет средств областного бюджета для лиц, проживающих в местностях, приравненных к районам Крайнего Севера" </t>
  </si>
  <si>
    <t>Закон РФ от 19.02.1993 N 4520-I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</si>
  <si>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12.06.2002 N 67-ФЗ "Об основных гарантиях избирательных прав и права на участие в референдуме граждан Российской Федерации"</t>
  </si>
  <si>
    <t>Закон Томской области от 12.01.2007 N 29-ОЗ "О референдуме Томской области и местном референдуме"</t>
  </si>
  <si>
    <t>ст. 17, п.1, п.п.1</t>
  </si>
  <si>
    <t>Гл.3, ст.17, п. 1, п.п. 9.</t>
  </si>
  <si>
    <t>Гл.3, ст.20, п. 5.</t>
  </si>
  <si>
    <t>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</si>
  <si>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Закон Томской области от 14.07.2007 N 170-ОЗ "О межбюджетных отношениях в Томской области" </t>
  </si>
  <si>
    <t>1.5.4.2.2.1. за счет средств бюджета Колпашевского района</t>
  </si>
  <si>
    <t>1.5.4.2.2.2. за счет средств областного бюджета</t>
  </si>
  <si>
    <t>1.5.4.2.19.1. за счет местного бюджета</t>
  </si>
  <si>
    <t>1.5.4.2.19.2. за счет средств областного бюджета</t>
  </si>
  <si>
    <t>Гл.3, ст.15.1. п. 1, п.п. 8.</t>
  </si>
  <si>
    <t>Постановление Администрации Колпашевского района от 02.04.2010 № 512 "Об утверждении Методологии расчёта долговой нагрузки на бюджет муниципального образования "Колпашевский район"  с учётом действующих и планируемых к принятию долговых обязательств  на  среднесрочный прогноз"</t>
  </si>
  <si>
    <t>02.04.2010, не установлен</t>
  </si>
  <si>
    <t>Постановление Главы Колпашевского района от 22.06.2009 № 566 "Об утверждении Положения о порядке ведения муниципальной долговой книги муниципального образования "Колпашевский район"</t>
  </si>
  <si>
    <t>22.06.2009, не установлен</t>
  </si>
  <si>
    <t>28.04.2014, не установлен</t>
  </si>
  <si>
    <t>Решение Думы Колпашевского района от 29.01.2016 № 5 "Об установлении льгот на пассажирские перевозки по социально- значимым автобусным маршрутам Колпашевского района №513, № 514, № 515"</t>
  </si>
  <si>
    <t>03.02.2016, не установлен</t>
  </si>
  <si>
    <t>Закон Томской области от 30.12.2014 N 200-ОЗ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</si>
  <si>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16.04.2015, не установлен</t>
  </si>
  <si>
    <t>Постановление Администрации Колпашевского района от 11.02.2016 № 114 "Об утверждении порядка и условий предоставления субсидии на возмещение недополученных доходов от предоставления льготных услуг по перевозке населения по автобусным маршрутам № 513 "Колпашево - Копыловка", № 514 "Колпашево - Куржино", № 515 "Колпашево - Дальнее"</t>
  </si>
  <si>
    <t>11.02.2016- 31.12.2016</t>
  </si>
  <si>
    <t>Закон Томской области от 29.12.2015 N 215-ОЗ "О наделении органов местного самоуправления отдельными государственными полномочиями на подготовку и проведение на территории Томской области Всероссийской сельскохозяйственной переписи в 2016 году"</t>
  </si>
  <si>
    <t>Федеральный закон от 21 июля 2005 г. N 108-ФЗ
"О Всероссийской сельскохозяйственной переписи"</t>
  </si>
  <si>
    <t>21.06.2005, не установлен</t>
  </si>
  <si>
    <t>17.02.2016- 31.12.2016</t>
  </si>
  <si>
    <t>13.10.2015- 10.04.2016</t>
  </si>
  <si>
    <t>Постановление Администрации Колпашевского района от 13.10.2015 № 1051 "О порядке расходования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на ремонт помещений здания, расположенного по адресу: г.Колпашево, ул.Л.Толстого,14" (в редакции от 23.10.2015 № 1079, от 18.02.2016)</t>
  </si>
  <si>
    <t>Постановление Главы Колпашевского района от 19.02.2016 № 26 "О порядке использования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t>
  </si>
  <si>
    <t>19.02.2016- 01.06.2016</t>
  </si>
  <si>
    <t>19.02.2016- 01.05.2016</t>
  </si>
  <si>
    <t>01.01.2016- 25.12.2016</t>
  </si>
  <si>
    <t>Решение Думы Колпашевского района от 28.04.2014 № 42 "О финансировании расходов на создание условий для оказания медицинской помощи населению на территории Колпашевского района" (в редакции от 22.09.2014 № 90, от 15.12.2014 № 159, от 02.11.2015 № 8, от 29.01.2016 № 3, от 29.02.2016 № 10)</t>
  </si>
  <si>
    <t>Решение Думы Колпашевского района от 27.04.2015 № 37 "Об установлении льгот на пассажирские перевозки по социально-значимому автобусному маршруту № 150а "Колпашево - Усть-Чая - Чажемто" (в редакции от 21.12.2015 № 57, от 29.02.2016 № 12)</t>
  </si>
  <si>
    <t>01.04.2015- 01.04.2016</t>
  </si>
  <si>
    <t>29.02.2016- 23.12.2016</t>
  </si>
  <si>
    <t>Решение Думы Колпашевского района от 29.02.2016 № 14 "О предоставлении иных межбюджетных трансфертов бюджету муниципального образования "Копыловское сельское поселение" на организацию теплоснабжения муниципального жилищного фонда"</t>
  </si>
  <si>
    <t>Решение Думы Колпашевского района от 29.02.2016 № 15 "О предоставлении иных межбюджетных трансфертов бюджету муниципального образования "Колпашевское городское поселение" на софинансирование мероприятий по объекту: "Инженерные сети микрорайона "Звезда" г. Колпашево Колпашевского района Томской области. Реконструкция"</t>
  </si>
  <si>
    <t>Постановление Администрации колпашевского района от 09.03.2016 № 238 "О порядке использования средств муниципальной программы "Обеспечение безопасности населения Колпашевского района", предусмотренных на создание условий для деятельности добровольных пожарных команд на территориях населённых пунктов, не прикрытых подразделениями пожарной охраны"</t>
  </si>
  <si>
    <t>09.03.2016- 25.12.2016</t>
  </si>
  <si>
    <t>(304)</t>
  </si>
  <si>
    <t>1.1.9.4. обеспечение безопасности гидротехнических сооружений</t>
  </si>
  <si>
    <t>1.1.9.5. разработка проектно-сметной документации на реконструкцию (проведенпие капитального ремонта) гидротехнических сооружений, находящихся в муниципальной собственности</t>
  </si>
  <si>
    <t>Постановление Администрации Колпашевского района от 09.03.2016 № 239 "О порядке использования средств муниципальной программы "Обеспечение безопасности населения Колпашевского района", предусмотренных на обустройство и ремонт источников противопожарного водоснабжения в населённых пунктах Колпашевского района"</t>
  </si>
  <si>
    <t>(598) (807)</t>
  </si>
  <si>
    <t>(597) (808)</t>
  </si>
  <si>
    <t>1.5.4.2.5. создание условий для предоставления транспортных услуг населению и организация транспортного обслуживания населения в границах поселения</t>
  </si>
  <si>
    <t>1.5.4.2.15.8. ИМБТ на поощрение поселенческих команд, участвовавших в IX зимней межпоселенческой спартакиаде в д.Новогорное</t>
  </si>
  <si>
    <t>(803) (809)</t>
  </si>
  <si>
    <t>(688)</t>
  </si>
  <si>
    <t>1101</t>
  </si>
  <si>
    <t>0102</t>
  </si>
  <si>
    <t>0103</t>
  </si>
  <si>
    <t>0104</t>
  </si>
  <si>
    <t>1002</t>
  </si>
  <si>
    <t>0106</t>
  </si>
  <si>
    <t>0111</t>
  </si>
  <si>
    <t>0113</t>
  </si>
  <si>
    <t>1004</t>
  </si>
  <si>
    <t>1020</t>
  </si>
  <si>
    <t>0309</t>
  </si>
  <si>
    <t>1010</t>
  </si>
  <si>
    <t>0405</t>
  </si>
  <si>
    <t>0406</t>
  </si>
  <si>
    <t>0408</t>
  </si>
  <si>
    <t>0409</t>
  </si>
  <si>
    <t>1006</t>
  </si>
  <si>
    <t>0412</t>
  </si>
  <si>
    <t>0502</t>
  </si>
  <si>
    <t>0503</t>
  </si>
  <si>
    <t>0701</t>
  </si>
  <si>
    <t>0702</t>
  </si>
  <si>
    <t>0707</t>
  </si>
  <si>
    <t>0709</t>
  </si>
  <si>
    <t>0801</t>
  </si>
  <si>
    <t>0804</t>
  </si>
  <si>
    <t>1003</t>
  </si>
  <si>
    <t>1102</t>
  </si>
  <si>
    <t>1301</t>
  </si>
  <si>
    <t>итого</t>
  </si>
  <si>
    <t>1704</t>
  </si>
  <si>
    <t>0203</t>
  </si>
  <si>
    <t>0310</t>
  </si>
  <si>
    <t>1905</t>
  </si>
  <si>
    <t>1933</t>
  </si>
  <si>
    <t>0501</t>
  </si>
  <si>
    <t>1941</t>
  </si>
  <si>
    <t>1701</t>
  </si>
  <si>
    <t>1540</t>
  </si>
  <si>
    <t>1593</t>
  </si>
  <si>
    <t>1541</t>
  </si>
  <si>
    <t>1553</t>
  </si>
  <si>
    <t>1568</t>
  </si>
  <si>
    <t>1556</t>
  </si>
  <si>
    <t>0401</t>
  </si>
  <si>
    <t>1559</t>
  </si>
  <si>
    <t>1592</t>
  </si>
  <si>
    <t>Постановление Администрации Колпашевского района от 18.03.2016 № 277 "О порядке использования средств субсидии из областного бюджета на ремонт внутреннего водного транспорта, осуществляющего регулярные пассажирские перевозки внутренним водным транспортом общего пользования по муниципальным маршрутам на территории Томской области, в рамках подпрограммы "Развитие пассажирских перевозок на территории Томской области" государственной программы "Развитие транспортной системы в Томской области"</t>
  </si>
  <si>
    <t>18.03.2016- 23.12.2016</t>
  </si>
  <si>
    <t>22.06.2015, не установлен</t>
  </si>
  <si>
    <t>Постановление Главы Колпашевского района от 25.03.2016 № 62 "О порядке расходования средств бюджетных ассигнований резервного фонда финансирования непредвиденных расходов Администрации Томской области"</t>
  </si>
  <si>
    <t>25.03.2016- 31.12.2016</t>
  </si>
  <si>
    <t>Постановление Главы Колпашевского района от 25.03.2016 № 61 "О порядке расходования бюджетных ассигнований резервного фонда финансирования непредвиденных расходов Администрации Томской области"</t>
  </si>
  <si>
    <t>25.03.2016- 15.11.2016</t>
  </si>
  <si>
    <t>Постановление Главы Колпашевского района от 25.03.2016 № 63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</si>
  <si>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25.03.2016- 30.11.2016</t>
  </si>
  <si>
    <t>Постановление Администрации Колпашевского района от 25.03.2016 № 315 "О распределении средств иных межбюджетных трансфертов на поощрение поселенческих команд, участвавших в IX зимней межпоселенческой спартакиаде в д.Новогорное, из бюджета муниципального образования "Колпашеский район" в 2016 году"</t>
  </si>
  <si>
    <t>25.03.2016- 24.11.2016</t>
  </si>
  <si>
    <t>Решение Думы Колпашевского района от 19.12.2012 № 160 "О Почетной грамоте и Благодарственном письме
Думы Колпашевского района" (в редакции от 25.11.2013 № 110, от 21.12.2015 № 64)</t>
  </si>
  <si>
    <t>Решение Думы Колпашевского района от 25.04.2016 № 27 "Об установлении льготы на пассажирские перевозки речным транспортом по социально-значимым водным маршрутам между поселениями в границах муниципального образования "Колпашевский район" на период навигации в 2016 году"</t>
  </si>
  <si>
    <t>25.04.2016- 31.12.2016</t>
  </si>
  <si>
    <t>29.04.2016- 31.12.2016</t>
  </si>
  <si>
    <t>Постановление Администрации Колпашевского района от 17.05.2016 № 500 "Об установлении льгот на пассажирские перевозки речным транспортом по социально-значимым водным маршрутам между поселениями в границах муниципального образования "Колпашевский район" на период навигации в 2016 году"</t>
  </si>
  <si>
    <t>12.05.2016- 31.12.2016</t>
  </si>
  <si>
    <t>Постановление Администрации Колпашевского района от 17.02.2016 № 148 "Об утверждении Порядка предоставления субсидий муниципальному унитарному предприятию "Перевозчик" на финансовое обеспечение затрат"</t>
  </si>
  <si>
    <t>Решение Думы Колпашевского района от 13.08.2014 № 75 "О финансировании за счет средств бюджета муниципального образования "Колпашевский район" мероприятий, направленных на поддержку садоводчиских, огороднических и дачных некомерческих объединений"</t>
  </si>
  <si>
    <t>(603)</t>
  </si>
  <si>
    <t>Постановление Администрации Колпашевского района от 28.04.2016 № 424 "О порядке расходования средств субсидии бюджетам муниципальных образований Томской области на софинансирование расходов на создание,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</si>
  <si>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28.04.2016- 31.12.2016</t>
  </si>
  <si>
    <t xml:space="preserve">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сельскохозяйственного производства" </t>
  </si>
  <si>
    <t>01.07.2010, до окончания действия ЗТО от 29.12.2005 № 248-ОЗ</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</si>
  <si>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 от 13.02.2013 № 119)</t>
  </si>
  <si>
    <t>Решение Думы Колпашевского района от 23.04.2012 № 46 "О порядке расходования женежных средств, выделенных бюджету муниципального образования "Колпашевский район" из бюджета Томской области"</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</si>
  <si>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расширенре рынка сельскохозяйственной продукции, сырья, продовольствия" (в редакции от 27.11.2015 № 44)</t>
  </si>
  <si>
    <t>1.5.4.2.38. обеспечение сбалансированности бюджетов поселений</t>
  </si>
  <si>
    <t>1938 (714)</t>
  </si>
  <si>
    <t>1.5.4.2.15.9. МБТ из резервного фонда финансирования непредвиденных расходов Администрации Томской области ( в соответствии с распоряжением АТО от 04.03.2016 № 38-р-в)</t>
  </si>
  <si>
    <t>1.5.4.2.15.10. МБТ из резервного фонда финансирования непредвиденных расходов Администрации Томской области ( в соответствии с распоряжением АТО от 13.04.2016 № 67-р-в)</t>
  </si>
  <si>
    <t>(661)</t>
  </si>
  <si>
    <t>(604) (810)</t>
  </si>
  <si>
    <t>(658)</t>
  </si>
  <si>
    <t>(657)</t>
  </si>
  <si>
    <t>1705</t>
  </si>
  <si>
    <t>1938</t>
  </si>
  <si>
    <t>18.04.2016- 01.06.2016</t>
  </si>
  <si>
    <t>Постановление Администрации Колпашевского района от 25.04.2016 № 411 "О порядке расходования неиспользованных в 2015 году средств субсидии из областного бюджета на реализацию государственной программы "Повышение энергоэффективности в Томской области" (Газораспределительные сети г.Колпашево и с.Тогур Колпашевского района Томской области. VI очередь, 2 этап)"</t>
  </si>
  <si>
    <t>Постановление Администрации Колпашевского района от 25.04.2016 № 412 "О порядке расходования неиспользованных в 2015 году средств субсидии из областного бюджета на разработку проектно - сметной документации с целью реализации государственной программы "Повышение Энергоэффективности в Томской области" по объекту "Газораспределительные сети г.Колпашево и с.Тогур Колпашевского района Томской области. VII очередь"</t>
  </si>
  <si>
    <t>25.04.2016- 23.12.2016</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</si>
  <si>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 (в редакции решений от 25.04.2016 № 25, от 25.04.2016 № 25)</t>
  </si>
  <si>
    <t>Решение Думы Колпашевского района от 25.04.2016 № 33 "О предоставлении иных межбюджетных трансфертов бюджету муниципального образования "Копыловское сельское поселение" на ремонт оборудования дизельной электростанции в п.Копыловка"</t>
  </si>
  <si>
    <t>Решение Думы Колпашевского района от 25.04.2016 № 34 "О предоставлении иных межбюджетных трансфертов бюджету муниципального образования "Копыловское сельское поселение" на ремонт трансформаторных подстанций в п.Копыловка"</t>
  </si>
  <si>
    <t>Постановление Администрации Колпашевского района от 29.09.2015 № 988 "О порядке расходования средств субсидии на софинансирование расходных обязательств муниципального образования "Колпашевский район" на предоставление социальных выплат молодым семьям для приобретения (строительства) жилья в рамках подпрограммы "Обеспечение жильём молодых семей" федеральной целевой программы "Жилище" на 2015-2020 годы и подпрограммы "Обеспечение жильем молодых семей в Томской области" государственной программы "Обеспечение доступности жилья и улучшения качества жилищных условий населения томской области"</t>
  </si>
  <si>
    <t>29.09.2015- 31.12.2020</t>
  </si>
  <si>
    <t>Постановление Администрации Колпашевского района от 27.04.2016 № 94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01.04.2016 № 62-р-в)</t>
  </si>
  <si>
    <t>27.04.2016- 15.11.2016</t>
  </si>
  <si>
    <t>Постановление Главы Колпашевского района от 29.04.2016 № 100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</si>
  <si>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29.04.2016- 20.12.2016</t>
  </si>
  <si>
    <t>Постановление Администрации Колпашевского района от 13.05.2016 № 465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"Городской округ - закрытое административно-территориальное образование Северск Томской области", муниципального образования "Томский район"</t>
  </si>
  <si>
    <t>16.05.2016- 25.12.2016</t>
  </si>
  <si>
    <t>Постановление Администрации Колпашевского района от 16.05.2016 № 114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28.04.2016 № 83-р-в)</t>
  </si>
  <si>
    <t>16.05.2016- 15.11.2016</t>
  </si>
  <si>
    <t>Постаговление Администрации Колпашевского района от 18.04.2016 № 83 "О порядке расходования средств бюджетных ассигнований резервного фонда финансирования непредвиденных расходов Администрации Томской области"</t>
  </si>
  <si>
    <t>19.05.2016- 15.06.2016</t>
  </si>
  <si>
    <t>Постановление Администрации Колпашевского района от 19.05.2016 № 116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28.04.2016 № 83-р-в)</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</si>
  <si>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 от 26.05.2016 № 578)</t>
  </si>
  <si>
    <t>Постановление Главы Колпашевского района от 16.05.2016 № 112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элементов детской игровой площадки" (в редакции от 26.05.2016 № 124)</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</si>
  <si>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 (в редакции от 27.03.2013 № 25, от 30.01.2014 № 5, от 30.05.2016 № 42)</t>
  </si>
  <si>
    <t>30.05.2016- 23.12.2016</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</si>
  <si>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 от 30.05.2016 № 47)</t>
  </si>
  <si>
    <t>25.11.2013- 31.12.2020</t>
  </si>
  <si>
    <t>Постанволение Главы Колпашевского района от 25.03.2016 № 63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</si>
  <si>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Постановление Администрации Колпашевского района от 21.03.2016 № 278 "Об утверждении муниципальной программы "Развитие культуры и туризма в Колпашевском районе" (в редакции от 04.04.2016 № 336)</t>
  </si>
  <si>
    <t>21.03.2016- 31.12.2020</t>
  </si>
  <si>
    <t>подпрограмма</t>
  </si>
  <si>
    <t>01.01.2016-31.12.2021</t>
  </si>
  <si>
    <t>Постановление Главы Колпашевского района от 07.06.2016 № 131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16.05.2016 № 95-р-в)</t>
  </si>
  <si>
    <t>16.05.2016- 01.12.2016</t>
  </si>
  <si>
    <t>01.01.2014- 31.12.2020</t>
  </si>
  <si>
    <t>п.2, п.п.3, п.17</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</si>
  <si>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родителей,а также лиц из их числа"</t>
  </si>
  <si>
    <t>п.2,3 порядка</t>
  </si>
  <si>
    <t>01.01.2012, не установлен</t>
  </si>
  <si>
    <t>Федеральный закон от 29.12.2006 N 264-ФЗ "О развитии сельского хозяйства"</t>
  </si>
  <si>
    <t>ст.7, п.1-2</t>
  </si>
  <si>
    <t>11.01.2007, не установлен</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</si>
  <si>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</si>
  <si>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ст. 4,5</t>
  </si>
  <si>
    <t>Закон Российской Федерации от 21.02.1992 N 2395-I "О недрах"</t>
  </si>
  <si>
    <t>ст.3</t>
  </si>
  <si>
    <t>21.02.1992, не установлен</t>
  </si>
  <si>
    <t>Постановление Администрации Колпашевского района от 19.02.2016 № 161 "О порядке расходования остатков средств 2015 года резервного фонда финансирования непредвиденных расходов Администрации Томской области" (в редакции от 07.06.2016 № 623)</t>
  </si>
  <si>
    <t>Постановление Администрации Томской области от 17.09.2014 N 341а "О предоставлении из областного бюджета бюджетам муниципальных образований Томской области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t>
  </si>
  <si>
    <t>30.09.2014, не установлен</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</si>
  <si>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общеобразоватеолььных учреждений МО "Колпашевский район" (в редакции от 29.08.2011 № 90)</t>
  </si>
  <si>
    <t xml:space="preserve">Решение Думы Колпашевского района  от 23.04.2012 № 46 " О порядке расходования денежных средств, выделенных бюджету муниципального образования "Колпашевский район" из бюджета Томской области"
</t>
  </si>
  <si>
    <t>Постановление Администрации Томской области от 28.01.2011 №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</si>
  <si>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Закон Томской области от 28.12.2010 № 336-ОЗ «О предоставлении межбюджетных трансфертов»</t>
  </si>
  <si>
    <t>постановление Администрации Колпашевского района от 24.05.2013 № 487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 детей (в редакции от 22.04.2014 № 371, от 16.09.2014 № 948, от 05.06.2015 № 559, от 16.09.2015 № 943, от 21.12.2015 № 1344, от 04.03.2016 № 232)</t>
  </si>
  <si>
    <t>Постановление Администрации Колпашевского района от 24.05.2013 № 488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 (в редакции от 18.09.2014 № 972, от 23.06.2015 № 605, от 16.09.2015 № 944, от 21.12.2015 № 1343, от 04.03.2016 № 231, от 28.03.2016 № 318)</t>
  </si>
  <si>
    <t>23.05.2013- 31.05.2016</t>
  </si>
  <si>
    <t>23.05.2013- 31.12.2016</t>
  </si>
  <si>
    <t>Постановление Администрации Колпашевского района от 18.09.2014 № 973"О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общеобразовательныхорганизаций (в редакции постановлений от 02.07.2015 № 648, от 16.09.2015 № 942, от 21.12.2015 № 1341, от 04.03.2016 № 253)</t>
  </si>
  <si>
    <t>Постановление Администрации Колпашевского района от 14.09.2012 № 914 "О порядке расходования средств межбюджетных трансфертов на выплату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общеобразоательные программы среднего(полного) общего образования, перечисленных в бюджет муниципального образования "Колпашевский район" в соотвествии с постановлением Администрации Томской области от 20.08.2012 № 317а" (в редакции от 29.03.2013 № 300)</t>
  </si>
  <si>
    <t>01.04.2012, не установлен</t>
  </si>
  <si>
    <t>13.12.2013- 31.12.2016</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</si>
  <si>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t>
  </si>
  <si>
    <t>01.01.2016, не установлен</t>
  </si>
  <si>
    <t>01.01.2006, не устаногвлен</t>
  </si>
  <si>
    <t>1.5.4.2.15.11. МБТ из резервного фонда финансирования непредвиденных расходов Администрации Томской области ( в соответствии с распоряжением АТО от 07.06.2016 № 118-р-в)</t>
  </si>
  <si>
    <t>(724)</t>
  </si>
  <si>
    <t>(323)</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</si>
  <si>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 (в редакции от 27.04.2016 № 420, от 21.06.2016 № 686)</t>
  </si>
  <si>
    <t>Постановление Главы Колпашевского района от 21.06.2016 № 144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07.06.2016 № 118-р-в)</t>
  </si>
  <si>
    <t>21.06.2016- 31.12.2016</t>
  </si>
  <si>
    <t>Постановление Главы Колпашевского района от 24.06.2016 № 149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</si>
  <si>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24.06.2016- 30.11.2016</t>
  </si>
  <si>
    <t>Решение Думы Колпашевского района от 28.06.2016 № 56 "О порядке и случаях использования собственных материальных ресурсов и финансовых средств муниципального образования "Колпашевский район" для осуществления переданных полномочий по решению вопросов местного значения поселений Колпашевского района"</t>
  </si>
  <si>
    <t>28.06.2016, не установлен</t>
  </si>
  <si>
    <t xml:space="preserve"> 01.01.2008- 31.12.2016</t>
  </si>
  <si>
    <t>01.01.2017, не установлен</t>
  </si>
  <si>
    <t>Решние Думы Колпашевского района от 29.02.2016 № 13 "О предоставлении иных межбюджетных трансфертов бюджету муниципального образования "Инкинское сельское поселение" на выполнение мероприятий по благоустройству населенных пунктов Инкинского сельского поселения" (в редакции от 28.06.2016 № 61)</t>
  </si>
  <si>
    <t>Постановление Администрации Колпашевского района от 01.07.2016 № 729 "Об утверждении Порядка предоставления субсидии муниципальному унитарному предприятию "Перевозчик" на финансовое обеспечение затрат, связанных с обустройством причалов, находящихся в муниципальной собственности муниципального образования "Колпашевский район"</t>
  </si>
  <si>
    <t>01.07.2016- 31.12.2016</t>
  </si>
  <si>
    <t>Постановление Администрации Колпашевского района от 08.07.2016 № 744 "О порядке расходования средств субсидии, предоставленных из областного бюджета и средств бюджета муниципального образования "Колпашевский район" на реализацию проектов, отобранных по итогам проведения конкурса проектов в рамках реализации государственной программы "Развитие культуры и туризма в Томской области"</t>
  </si>
  <si>
    <t>08.07.2016- 31.12.2016</t>
  </si>
  <si>
    <t>Гл.3, ст.15, п.1, п.п.8</t>
  </si>
  <si>
    <t>(697)</t>
  </si>
  <si>
    <t>1504 (580)</t>
  </si>
  <si>
    <t>1.5.4.2.15.12. ИМБТ на подготовку спортивных сооружений к проведению межселенческой спартакиады в с.Инкино в 2016 году</t>
  </si>
  <si>
    <t>(324)</t>
  </si>
  <si>
    <t>Постановление Администрации Колпашевского района от 23.06.2016 № 693 "О предоставлении иных межбюджетных трансфертов бюджету муниципального образования "Инкинское сельское поселение" на подготовку спортивных сооружений к проведению межпоселенческой спартакиады в с. Инкино в 2016 году" (в редакции от 12.08.2016 № 896)</t>
  </si>
  <si>
    <t>23.06.2016- 01.11.2016</t>
  </si>
  <si>
    <t>(727)</t>
  </si>
  <si>
    <t>(705)</t>
  </si>
  <si>
    <t>Постановление Администрации Колпашевского района от 23.08.2016 № 945 "О порядке расходования средств субсидии из областного бюджета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на 2016 год"</t>
  </si>
  <si>
    <t>23.08.2016- 25.11.2016</t>
  </si>
  <si>
    <t>06.09.2016- 31.12.2016</t>
  </si>
  <si>
    <t>(725)</t>
  </si>
  <si>
    <t>Постановление Главы Колпашевского района от 06.07.2016 № 157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22.06.2016 № 140-р-в)</t>
  </si>
  <si>
    <t>06.07.2016- 31.12.2016</t>
  </si>
  <si>
    <t>Постановление Главы Колпашевского района от 19.07.2016 № 164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05.07.2016 № 150-р-в)</t>
  </si>
  <si>
    <t>19.07.2016- 31.12.2016</t>
  </si>
  <si>
    <t>(619) (620)</t>
  </si>
  <si>
    <t>28.10.2015- 31.12.2016</t>
  </si>
  <si>
    <t>05.10.2015- 31.12.2016</t>
  </si>
  <si>
    <t>Постановление Главы Колпашевского района от 20.07.2016 № 166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30.06.2016 № 145-р-в)</t>
  </si>
  <si>
    <t>20.07.2016- 30.11.2016</t>
  </si>
  <si>
    <t>Постановление Главы Колпашевского района от 20.07.2016 № 165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05.07.2016 № 150-р-в)</t>
  </si>
  <si>
    <t>(726)</t>
  </si>
  <si>
    <t>1.5.4.2.15.13. МБТ из резервного фонда финансирования непредвиденных расходов Администрации Томской области ( в соответствии с распоряжением АТО от 30.06.2016 № 145-р-в)</t>
  </si>
  <si>
    <t>Постановление Главы Колпашевского района от 03.08.2016 № 177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</si>
  <si>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03.08.2016- 30.11.2016</t>
  </si>
  <si>
    <t>0105</t>
  </si>
  <si>
    <t>Постановление Главы Колпашевского района от 15.07.2016 № 163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</si>
  <si>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15.07.2016- 25.12.2016</t>
  </si>
  <si>
    <t>Постановление Администрации Колпашевского района от 18.07.2016 № 801 "Об установлении расходного обязательства муниципального образования "Колпашевский район" по осуществлению отдельных государственных полномочий на подготовку и проведение на территории Томской области Всероссийской сельскохозяйственной переписи в 2016 году"</t>
  </si>
  <si>
    <t>период действия ЗТО от 29.12.2015 № 215-ОЗ</t>
  </si>
  <si>
    <t>(728)</t>
  </si>
  <si>
    <t>Постановление Администрации Колпашевского района от 02.09.2016 № 1009 "О предоставлении иных межбюджетных трансфертов на устройство минерализованных полос с целью предупреждения чрезвычайных ситуаций, связанных с лесными пожарами"</t>
  </si>
  <si>
    <t>02.09.2016- 20.12.2016</t>
  </si>
  <si>
    <t>24.08.2016- 20.12.2016</t>
  </si>
  <si>
    <t>24.08.2016- 20.12.2017</t>
  </si>
  <si>
    <t>Решение Думы Колпашевского района от 24.08.2016 № 77 "О предоставлении иных межбюджетных трансфертов бюджету муниципального образования "Новоселовское сельское поселение" на приобретение, доставку и работы по демонтажу, монтажу оборудования в котельной д.Маракса"</t>
  </si>
  <si>
    <t>Дума Колпашевского района от 24.08.2016 № 69 "О предоставлении иных межбюджетных трансфертов бюджету муниципального образования "Колпашевское городское поселение" на обустройство пешеходных переходов, прилегающих к образовательным организациям"</t>
  </si>
  <si>
    <t>Решение Думы Колпашевского района от 24.08.2016 № 76 "О предоставлении иных межбюджетных трансфертов бюджетам муниципальных образований "Инкинское сельское поселение", "Новогоренское сельское поселение" на участие в организации деятельности по сбору и транспортированию твердых коммунальных отходов"</t>
  </si>
  <si>
    <t>Решение Думы Колпашевского района от 24.08.2016 № 66 "О предоставлении иных межбюджетных трансфертов бюджету муниципального образования "Инкинское сельское поселение" на обустройство спортивных объектов в с. Инкино"</t>
  </si>
  <si>
    <t>24.08.2016- 01.11.2016</t>
  </si>
  <si>
    <t>1.5.4.2.15.14. ИМБТ на обустройство спортивных объектов в с.Инкино</t>
  </si>
  <si>
    <t>Постановление Главы Колпашевского района от 10.08.2016 № 179 "О порядке расходования средств бюджетных ассигнований резервного фонда финансирования непредвиденных расходов Администрации Томской области на выполнение работ по ремонту муниципального жилого помещения"</t>
  </si>
  <si>
    <t>10.08.2016- 23.12.2016</t>
  </si>
  <si>
    <t>Постановление Администрации Колпашевского района от 23.05.2012 № 496 "Об утверждении Порядка финансирования официальных физкультурно-оздоровительных и спортивных мероприятий муниципального образования "Колпашевский район" (в редакции постановлений Администрации Колпашевского района от 23.07.2012 № 702, от 31.08.2012 № 859, от 28.03.2013 № 292, от 03.07.2013 № 632, от 18.07.2013 № 711, от 23.08.2013 № 866, от 16.09. 2013 № 974, от 25.10.2013 № 1138, от 06.02.2014 №104, от 23.06.2014 № 585; от 06.10.2014 № 1145; от 04.03.2015 № 268; от 14.04.2015 № 407, от 12.11.2015 № 1147, от 12.04.2016 №372, от 10.08.2016 № 888)</t>
  </si>
  <si>
    <t>23.05.2012, не установлен</t>
  </si>
  <si>
    <t>Постановление Главы Колпашевского района от 12.08.2016 № 181 "О порядке расходования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</si>
  <si>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12.08.2016- 31.12.2016</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</si>
  <si>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от 30.05.2016 № 50, от 24.08.2016 № 67)</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</si>
  <si>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t>
  </si>
  <si>
    <t>Решение Думы Колпашевского района от 25.04.2016 № 29 "О предоставлении иных межбюджетных трансфертов бюджету муниципального образования "Дальненское сельское поселение" на ремонт линий электропередач в п.Дальнее и п.Куржино" (в редакции от 24.08.2016 № 74)</t>
  </si>
  <si>
    <t>Решение Думы Колпашевского района от 30.05.2016 № 46 "О предоставлении иных межбюджетных трансфертов бюджету муниципального образования "Колпашевское городское поселение" на компенсацию убытков теплоснабжающих организаций от эксплуатации муниципальных котельных" (в редакции от 24.08.2016 № 80)</t>
  </si>
  <si>
    <t>Решение Думы Колпашевского района от 29.02.2016 № 17 "О предоставлении иных межбюджетных трансфертов бюджетам муниципальных образований Колпашевского района на изготовление технической документации и проведение землеустроительных работ по межеванию земельных участков и постановке их на кадастровый учёт в целях регистрации права собственности на автомобильные дороги" (в редакции от 24.08.2016 № 83)</t>
  </si>
  <si>
    <t>Решение Думы Колпашевского района от 29.02.2016 № 16 "О предоставлении иных межбюджетных трансфертов бюджетам муниципальных образований Колпашевского района на ремонт автомобильных дорог общего пользования местного значения в границах населенных пунктов сельских поселений муниципального образования "Колпашевский район" (в редакции от 24.08.2016 № 83)</t>
  </si>
  <si>
    <t>Постановление Администрации Колпашевского района от 28.10.2015 № 1088 "О порядке расходования средств иных межбюджетных трансфертов из областного бюджета на комплектование книжных фондов библиотек Колпашевского района" (в редакции от 06.09.2016 № 1019)</t>
  </si>
  <si>
    <t>Постановление Администрации Колпашевского района от 05.10.2015 № 1019 "О порядке расходования средств иных межбюджетных трансфертов из областного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 (в редакции от 06.09.2016 № 1027)</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</si>
  <si>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 (в редакции постановлений Администрации Колпашевского района от 30.07.2014 № 752, от 22.05.2015 № 510, от 05.04.2016 № 340)</t>
  </si>
  <si>
    <r>
      <t>наименование, номер и дата</t>
    </r>
    <r>
      <rPr>
        <b/>
        <sz val="9"/>
        <rFont val="Times New Roman"/>
        <family val="1"/>
      </rPr>
      <t xml:space="preserve">
</t>
    </r>
  </si>
  <si>
    <t>Решение Думы Колпашевского района от 20.10.2016 № 94 "О предоставлении иных межбюджетных трансфертов бюджету муниципального образования "Новогоренское сельское поселение" на укрепление материально-технической базы Администрации Новогоренского сельского поселения"</t>
  </si>
  <si>
    <t>20.10.2016- 20.12.2016</t>
  </si>
  <si>
    <t>Решение Думы Колпашевского района от 20.10.2016 № 95 "О предоставлении иных межбюджетных трансфертов бюджету муниципального образования "Саровское сельское поселение" на укрепление материально-технической базы Администрации Саровского сельского поселения"</t>
  </si>
  <si>
    <t>(729)</t>
  </si>
  <si>
    <t>Постановление Главы Колпашевского района от 13.09.2016 № 213 "О порядке расходования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(в редакции от 20.09.2016 № 220)</t>
  </si>
  <si>
    <t>13.09.2016- 30.11.2016</t>
  </si>
  <si>
    <t>(730)</t>
  </si>
  <si>
    <t>Постановление Главы Колпашевского района от 12.09.2016 № 211 "О порядке использования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t>
  </si>
  <si>
    <t>12.09.2016- 25.12.2016</t>
  </si>
  <si>
    <t>1927 (342) (339)</t>
  </si>
  <si>
    <t>Постановление Администрации Колпашевского района от 05.10.2016 № 1116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2016 году"</t>
  </si>
  <si>
    <t>Решение Думы Колпашевского района от 12.09.2016 № 87 "О предоставлении иных межбюджетных трансфертов бюджету муниципального образования "Новогоренское сельское поселение" на организацию теплоснабжения объектов с.Новогорное"</t>
  </si>
  <si>
    <t>12.09.2016- 23.12.2016</t>
  </si>
  <si>
    <t>Решение Думы Колпашевского района от 20.10.2016 № 102 "О предоставлении иных межбюджетных трансфертов бюджету муниципального образования "Саровское сельское поселение" на ремонт кровли водонапорной башни в с.Новоильинка"</t>
  </si>
  <si>
    <t>Решение Думы Колпашевского района от 20.10.2016 № 98 "О предоставлении иных межбюджетных трансфертов бюджету муниципального образования "Дальненское сельское поселение" на приобретение запчастей и материалов для дизельной электростанции п.Куржино"</t>
  </si>
  <si>
    <t>(342)</t>
  </si>
  <si>
    <t>Решение Думы Колпашевского района от 20.10.2016 № 99 "О предоставлении иных межбюджетных трансфертов бюджету муниципального образования "Дальненское сельское поселение" на приобретение твердого топлива для организации теплоснабжения п.Куржино"</t>
  </si>
  <si>
    <t>Решение Думы Колпашевского района от 20.10.2016 № 103 "О предоставлении иных межбюджетных трансфертов бюджету муниципального образования "Новоселовское сельское поселение" на ремонт сетей водоснабжения по ул.Юбилейной в д.Маракса"</t>
  </si>
  <si>
    <t>Решение Думы Колпашевского района от 20.10.2016 № 100 "О предоставлении иных межбюджетных трансфертов бюджету муниципального образования "Копыловское сельское поселение" на содержание площадки временного размещения ТБО в с.Копыловка"</t>
  </si>
  <si>
    <t>Решение Думы Колпашевского района от 20.10.2016 № 104 "О предоставлении иных межбюджетных трансфертов бюджету муниципального образования "Колпашевское городское поселение" на купирование и ликвидацию аварийных деревьев"</t>
  </si>
  <si>
    <t>1.5.4.2.15.15. ИМБТ на софинансирование расходных обязательств, возникающих при выполнении полномочий органов местного самоуправления по вопросам обеспечения условий для развития физической культуры и массового спорта в части оплаты труда инструкторов по физической культуре</t>
  </si>
  <si>
    <t>Решение Думы Колпашевского района от 12.09.2016 № 86 "О предоставлении иных межбюджетных трансфертов на софинансирование расходных обязательств, возникающих при выполнении полномочий органов местного самоуправления по вопросам обеспечения условий для развития физической культуры и массового спорта в части оплаты труда инструкторов по физической культуре"</t>
  </si>
  <si>
    <t>1901</t>
  </si>
  <si>
    <t>1927</t>
  </si>
  <si>
    <t>1.5.4.2.15.16. Иные межбюджетные трансферты на поощрение поселенческих команд, участвовавших в XI летней межпоселенческой спартакиаде в с. Инкино</t>
  </si>
  <si>
    <t>21.09.2016- 24.11.2016</t>
  </si>
  <si>
    <t>(604)</t>
  </si>
  <si>
    <t>(607)</t>
  </si>
  <si>
    <t>03.10.2016- 31.12.2016</t>
  </si>
  <si>
    <t>1.1.17.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</si>
  <si>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(731)</t>
  </si>
  <si>
    <t>14.10.2016- 01.12.2016</t>
  </si>
  <si>
    <t>Постановление Главы Колпашевского района от 14.10.2016 № 250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22.09.2016 № 230-р-в)</t>
  </si>
  <si>
    <t>Постановление Главы Колпашевского района от 13.09.2016 № 212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26.08.2016 № 212-р-в)</t>
  </si>
  <si>
    <t>13.09.2016- 01.12.2016</t>
  </si>
  <si>
    <t>25.04.2014, не установлен</t>
  </si>
  <si>
    <t>05.10.2016- 10.11.2016</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</si>
  <si>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20.08.2012 № 316 а" (в редакции от 20.03.2013 № 262, от 05.10.2016 № 1021)</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</si>
  <si>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 от 14.10.2016 № 1137)</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</si>
  <si>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от 27.11.2015 № 38, от 30.05.2016 № 48, от 20.10.2016 № 97)
</t>
  </si>
  <si>
    <t>Решение Думы Колпашевского района от 20.10.2016 № 101 "О предоставлении иных межбюджетных трансфертов бюджету муниципального образования "Новогоренское сельское поселение" на выполнение мероприятий по благоустройству населенных пунктов"</t>
  </si>
  <si>
    <t>Постановление Главы Колпашевского района от 25.04.2014 № 68 "Об утверждении положения об оплате труда и ежегодных основных оплачиваемых отпусках, ежегодных дополнительных оплачиваемых отпусках работников муниципальных архивных учреждений" (в редакции от 04.10.2016 № 233)</t>
  </si>
  <si>
    <t>ПостановлениеАдминистрации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 от 29.12.2014 № 1631, от 17.06.2015, от 24.09.2015 № 976, от 18.12.2015 № 1326, от 06.09.2016 № 1025, от 29.09.2016 № 1098)</t>
  </si>
  <si>
    <t>Постановление Администрации Колпашевского района от 03.10.2016 № 1108 "О порядке расходования средств субсидии из областного бюджета местному бюджету муниципального образования "Колпашевский район" в целях поддержки муниципальной программы развития малого и среднего предпринимательства"</t>
  </si>
  <si>
    <t>1503 (586)</t>
  </si>
  <si>
    <t>1521 (592)</t>
  </si>
  <si>
    <t>1522 (568)</t>
  </si>
  <si>
    <t>1527 (552)</t>
  </si>
  <si>
    <t>1539 (701)</t>
  </si>
  <si>
    <t>(571)</t>
  </si>
  <si>
    <t>(564) (565) (628) (663)</t>
  </si>
  <si>
    <t>Решение Думы Колпашевского района от 24.11.2016 № 117 "О предоставлении иных межбюджетных трансфертов бюджету муниципального образования "Копыловское сельское поселение" на компенсацию убытков электроснабжающего предприятия от эксплуатации муниципальной дизельной электростанции"</t>
  </si>
  <si>
    <t>24.11.2016- 23.12.2016</t>
  </si>
  <si>
    <t>1.5.4.2.15.17. ИМБТ на подготовку спортивных сооружений к проведению межпоселенческой спартакиады в с.Новоселово</t>
  </si>
  <si>
    <t>Решение Думы Колпашевского района от 24.11.2016 № 113 "О предоставлении иных межбюджетных трансфертов бюджету муниципального образования "Колпашевское городское поселение" на обустройство новогоднего городка в микрорайоне Матьянга в г. Колпашево в 2016 году"</t>
  </si>
  <si>
    <t>1.5.4.2.20.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</si>
  <si>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(732)</t>
  </si>
  <si>
    <t>(733)</t>
  </si>
  <si>
    <t>Решение Думы Колпашевского района от 30.05.2016 № 45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 Колпашевского городского поселения" (в редакции от 24.11.2016 № 115)</t>
  </si>
  <si>
    <t>Решение Думы Колпашевкого района от 24.08.2016 № 72 "О предоставлении иных межбюджетных трансфертов бюджетам муниципальных образований "Дальненское сельское поселение", "Новоселовское сельское поселение" на выполнение мероприятий по благоустройству населенных пунктов" (в редакции от 24.11.2016 № 116)</t>
  </si>
  <si>
    <t>Решение думы Колпашевского района от 24.11.2016 № 118 "О реконструкции автомобильной дороги "Подъезд к с.Старокороткино" в Колпашевском районе Томской области"</t>
  </si>
  <si>
    <t>15.09.2016- 31.12.2016</t>
  </si>
  <si>
    <t>Решение Думы Колпашевского района от 24.08.2016 № 79 "О предоставлении иных межбюджетных трансфертов бюджету муниципального образования "Колпашевское городское поселение" на организацию теплоснабжения многоквартирных жилых домов по адресам: г.Колпашево, ул.Гоголя, 164, 166, 168, 170, 170/1" (в редакции от 24.11.2016 № 119)</t>
  </si>
  <si>
    <t>Постановление Администрации Колпашевского района от 03.02.2016 № 72 "Об утверждении Порядка предоставления субсидии на возмещение недополученных доходов перевозчикам, осуществляющим регулярные пассажирские перевозки автомобильным транспортом общего пользования по муниципальным автобусным маршрутам между поселениями в границах муниципального образования "Колпашевский район" (за исключением социально-значимых муниципальных автобусных маршрутов)" (в редакции от 03.03.2016 № 224, от 24.11.2016 № 1281)</t>
  </si>
  <si>
    <t>Постановление Главы Колпашевского района от 01.12.2016 № 284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11.11.2016 № 288-р-в)</t>
  </si>
  <si>
    <t>01.12.2016- 31.12.2016</t>
  </si>
  <si>
    <t>1.5.4.2.15.18. МБТ из резервного фонда финансирования непредвиденных расходов Администрации Томской области ( в соответствии с распоряжением АТО от 11.11.2016 № 228-р-в)</t>
  </si>
  <si>
    <t>1.5.4.2.15.19. МБТ из резервного фонда финансирования непредвиденных расходов Администрации Томской области ( в соответствии с распоряжением АТО от 22.11.2016 № 297-р-в)</t>
  </si>
  <si>
    <t>Постановление Главы Колпашевского района от 07.12.2016 № 291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</si>
  <si>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07.12.2016- 27.12.2016</t>
  </si>
  <si>
    <t>Постановление Главы Колпашевского района от 07.12.2016 № 293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</si>
  <si>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Постановление Главы Колпашевского района от 07.12.2016 № 292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</si>
  <si>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Постановление Главы Колпашевского района от 14.09.2016 № 215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26.08.2016 № 212-р-в)</t>
  </si>
  <si>
    <t>14.09.2016- 01.12.2016</t>
  </si>
  <si>
    <t>Решение Думы Колпашевского района от 19.12.2016 № 133 "О предоставлении иных межбюджетных трансфертов бюджету муниципального образования "Инкинское сельское поселение" на приобретение топлива лдя котельной с.Инкино"</t>
  </si>
  <si>
    <t>19.12.2016- 23.12.2016</t>
  </si>
  <si>
    <t>Решение Думы Колпашевского района от 19.12.2016 № 132 "О предоставлении иных межбюджетных трансфертов бюджету муниципального образования "Дальненское сельское поселение" на ремонт автомобилей УАЗ"</t>
  </si>
  <si>
    <t>19.12.2016- 26.12.2016</t>
  </si>
  <si>
    <t>(609)</t>
  </si>
  <si>
    <t>(614)</t>
  </si>
  <si>
    <t>01.09.2015, не установлен</t>
  </si>
  <si>
    <t>Постановление Администрации Колпашевского района от 06.12.2016 № 1329 "Об утверждении Порядка конкурсного отбора на назначение премии Главы района лучшему молодому педагогу"</t>
  </si>
  <si>
    <t>Постановление Администрации Колпашевского района от 06.09.2016 № 1020 "О порядке расходования средств иного межбюджетного трансферта из областного бюджета на создание в 2016 году условий для поэтапного введения федеральных государственных образовательных стандартов" (в редакции от 09.12.2016 № 1337)</t>
  </si>
  <si>
    <t>Постановление Администрации Колпашевского района от 21.09.2016 № 1077 "О распределении средств иных межбюджетных трансфертов на поощрение поселенческих команд, участвовавших в XI летней межпоселенческой спартакиаде в с. Инкино, из бюджета муниципального образования "Колпашевский район" в 2016 году" (в редакции от 14.12.2016 № 1362)</t>
  </si>
  <si>
    <t>Решение Думы Колпашевского района от 20.10.2016 № 105 "О предоставлении иных межбюджетных трансфертов бюджету муниципального образования "Колпашевское городское поселение" на разработку ландшафтного проекта благоустройства территории, расположенной по адресу: Томская область, г.Колпашево, ул.Кирова, 28" (в редакции от 19.12.2016 № 130)</t>
  </si>
  <si>
    <t>20.10.2016- 31.12.2016</t>
  </si>
  <si>
    <t>Решение Думы Колпашевского района от 24.08.2016 № 75 "О предоставлении иных межбюджетных трансфертов бюджету муниципального образования "Инкинское сельское поселение" на ремонт системы теплоснабжения помещений в здании по адресу: Томская область, Колпашевский район, с.Инкино, пер. Кооперативный, д. 11" (в редакции от 19.12.2016 № 134)</t>
  </si>
  <si>
    <t>24.08.2016- 26.12.2016</t>
  </si>
  <si>
    <t>Решение Думы Колпашевского района от 30.05.2016 № 44 "О предоставлении иных межбюджетных трансфертов бюджету муниципального образования "Дальненское сельское поселение" на создание резерва горюче-смазочных материалов на лесопожароопасный период" (в редакции от 19.12.2016 № 136)</t>
  </si>
  <si>
    <t>Постановление Администрации Колпашевского района от 20.02.2016 № 172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Колпашевском районе", в части повышения заработной платы работников муниципальных учреждений культуры и муниципальных учреждений культуры и муниципальных учреждений в сфере архивного дела" (в редакции от 06.07.2016 № 740, от 21.12.2016 № 1382)</t>
  </si>
  <si>
    <t>Постановление Администрации Колпашевского района от 20.02.2016 № 172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Колпашевском районе", в части повышения заработной платы работников муниципальных учреждений культуры и муниципальных учреждений в сфере архивного дела" (в редакции от 06.07.2016 № 740, от 21.12.2016 № 1382)</t>
  </si>
  <si>
    <t>Постановление Администрации Колпашевского района от 30.09.2016 № 1106 "О порядке расходования неиспользованных в 2015 году средств субсидии из областного бюджета на реализацию мероприятия "Инженерные сети микрорайона "Звезда" г.Колпашево Колпашевского района Томской области. Реконструкция" (в редакции от 25.10.2016 № 1164, от 22.12.2016 № 1387)</t>
  </si>
  <si>
    <t>30.09.2016- 31.12.2016</t>
  </si>
  <si>
    <t>Постановление Администрации Колпашевского района от 26.12.2016 № 1407 "О порядке использования средств областного бюджета"</t>
  </si>
  <si>
    <t>26.12.2016- 31.12.2016</t>
  </si>
  <si>
    <t>отчетный 2016 год</t>
  </si>
  <si>
    <t>текущий 2017 год</t>
  </si>
  <si>
    <t>очередной 2018 год</t>
  </si>
  <si>
    <t>2020 год</t>
  </si>
  <si>
    <t>1.1.3.2. межбюджетные трансферты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от 03.09.2015 № 639-ра)</t>
  </si>
  <si>
    <t>1.1.3.3. межбюджетные трансферты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от 29.07.2015 № 175-р-в)</t>
  </si>
  <si>
    <t>1.1.14.7. стимулирующие выплаты за высокие результаты и качество выполняемых работ в муниципальных общеобразовательных учреждениях</t>
  </si>
  <si>
    <t>1.1.14.8. стимулирующие выплаты работникам организаций дополнительного образования</t>
  </si>
  <si>
    <t>1.1.14.9. повышение заработной платы педагогических работников муниципальных учреждений дополнительного образования детей</t>
  </si>
  <si>
    <t>1.1.14.10. повышение заработной платы педагогических работников муниципальных дошкольных образовательных учреждений</t>
  </si>
  <si>
    <t>1.1.14.11. Повышение заработной платы педагогических работников муниципальных общеобразовательных учреждений</t>
  </si>
  <si>
    <t>1.1.14.12. стипендии Губернатора Томской области лучшим учителям МОУ Томской области</t>
  </si>
  <si>
    <t>1.1.14.13. стипендии Губернатора Томской области молодым учителям МОУ Томской области</t>
  </si>
  <si>
    <t>1.1.14.14. стипендия Губернатора Томской области обучающимся МОУ Томской области</t>
  </si>
  <si>
    <t>1.1.14.15. организация системы выявления, сопровождения одаренных детей</t>
  </si>
  <si>
    <t xml:space="preserve">1.1.14.16. расходы за счет резервных фондов Администрации Томской области </t>
  </si>
  <si>
    <t>1.1.14.17. МП "Обеспечение безопасности  населения Колпашевского района"</t>
  </si>
  <si>
    <t>1.1.14.18. МП "Развитие муниципальной системы образования в Колпашевском районе"</t>
  </si>
  <si>
    <t>1.1.14.19. ИМБТ на создание в 2016 году условий для поэтапного введения федеральных государственных стандартов</t>
  </si>
  <si>
    <t>1.1.14.20. МП "Устойчивое развитие сельских территорий муниципального образования "Колпашевский район"</t>
  </si>
  <si>
    <t xml:space="preserve">1.1.30.2. Расходы на реализацию муниципальной программы  "Развитие малого и среднего предпринимательства в Колпашевском районе на 2013-2018 годы" </t>
  </si>
  <si>
    <t>1.1.30.3. Расходы на реализацию мер по улучшению жилищных условий граждан, проживающих в сельской местности</t>
  </si>
  <si>
    <t>1.5.4.2.1.1. ИМБТ на укрепление материально- технической базы</t>
  </si>
  <si>
    <t>1.5.4.2.1.2. ИМБТ на укрепление материально - технической базы Администрации Саровского сельского поселения</t>
  </si>
  <si>
    <t>1.5.4.2.1.3. ИМБТ на ремонт автомобилей УАЗ</t>
  </si>
  <si>
    <t>1.5.4.2.2.1.1. ИМБТ на организацию теплоснабжения муниципального жилищного фонда</t>
  </si>
  <si>
    <t>1.5.4.2.2.1.2. ИМБТ на софинансирование мероприятий по объекту:"Инженерные сети микрорайона "Звезда" г.Колпашево Колпашевского района Томской области. Реконструкция"</t>
  </si>
  <si>
    <t>1.5.4.2.2.1.3. ИМБТ на компенсацию убытков теплоснабжающих организаций от эксплуатации муниципальных котельных</t>
  </si>
  <si>
    <t>1.5.4.2.2.2.1. Иные межбюджетные трансферты на компенсацию расходов по организации электроснабжения от дизельных электростанций за счет средств субсидии</t>
  </si>
  <si>
    <t>1.5.4.2.2.2.2. Субсидии местным бюджетам на проектирование, строительство (реконструкцию), приобретение газораспределительных сетей на территории населенных пунктов Томской области (Газораспределительные сети г. Колпашево и с. Тогур Колпашевского района Томской области. VII очередь. Проектирование)</t>
  </si>
  <si>
    <t>1.5.4.2.2.2.3. Субсидии местным бюджетам на проектирование, строительство (реконструкцию), приобретение газораспределительных сетей на территории населенных пунктов Томской области (Газораспределительные сети г. Колпашево и с. Тогур Колпашевского района Томской области. VI очередь. 2 этап)</t>
  </si>
  <si>
    <t>1.5.4.2.2.2.4. Субсидия на снижение количества аварий в системах отопления, водоснабжения и водоотведения коммунального комплекса Томской области (Инженерные сети микрорайона "Звезда" г. Колпашево Колпашевского района Томской области. Реконструкция.)</t>
  </si>
  <si>
    <t>1.5.4.2.2.2.5. Субсидия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на 2016 год (Колпашевское)</t>
  </si>
  <si>
    <t>1.5.4.2.2.1.4. ИМБТ на ремонт линий электропередач в п.Дальнее и п.Куржино</t>
  </si>
  <si>
    <t>1.5.4.2.3.2. 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</si>
  <si>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 xml:space="preserve">1.5.4.2.3.3. Иные межбюджетные трансферты на изготовление технической документации и проведение землеустроительных работ по межеванию земельных участков и постановке их на кадастровый учет в целях регистрации права собственности на автомобильные дороги </t>
  </si>
  <si>
    <t>1.5.4.2.3.4. Субсидия местным бюджетам на ремонт автомобильных дорог общего пользования местного значения в границах муниципального района</t>
  </si>
  <si>
    <t>1.5.4.2.4.1. МБТ из резервного фонда финансирования непредвиденных расходов Администрации Томской области (в соответствии с распоряжением АТО от 29.07.2016 № 175-р-в)</t>
  </si>
  <si>
    <t>1.5.4.2.8.1. МБТ из резервного фонда финансирования непредвиденных расходов Администрации Томской области (в соответствии с распоряжением АТО от 27.11.2015 № 923-ра)</t>
  </si>
  <si>
    <t>1.5.4.2.8.2. ИМБТ на создание резерва ГСМ на лесопожарный период</t>
  </si>
  <si>
    <t>1.5.4.2.8.3. ИМБТ на устройство минерализованных полос с целью предупреждения черезвычайных ситуаций, связанных с лесными пожарами</t>
  </si>
  <si>
    <t>1.5.4.2.8.4. МБТ из резервного фонда финансирования непредвиденных расходов Администрации Томской области (в соответствии с распоряжением АТО от 26.08.2016 № 615-ра) (Колпашевское)</t>
  </si>
  <si>
    <t>1.5.4.2.9.1. ИМБТ на создание условий для деятельности добровольных пожарных команд на территориях населённых пунктов, не прикрытых подразделениями пожарной охраны</t>
  </si>
  <si>
    <t>1.5.4.2.9.2. ИМБТ на обустройство и ремонт источников противопожарного водоснабжения в населенных пунктах Колпашевского района</t>
  </si>
  <si>
    <t>1.5.4.2.12.1. МБТ  из резервного фонда финансирования непредвиденных расходов Администрации Томской области (в соответствии с распоряжением АТО от 26.08.2016 № 212-р-в)</t>
  </si>
  <si>
    <t>1.5.4.2.19.1.1.  ИМБТ на благоустройство Инкинскому скльскому поселению</t>
  </si>
  <si>
    <t>1.5.4.2.19.1.2. ИМБТ на выполнение мероприятий по благоустройству населенных пунктов Колпашевского городского поселения</t>
  </si>
  <si>
    <t>1.5.4.2.19.1.3. ИМБТ на осуществление обустройства пешеходных переходов, прилегающих к образовательным организациям</t>
  </si>
  <si>
    <t>1.5.4.2.19.1.4. ИМБТ на участие в организации деятельности по сбору и транспортированию твердых коммунальных отходов</t>
  </si>
  <si>
    <t>1.5.4.2.19.1.5. ИМБТ на выполнение мероприятий по благоустройству населенных пунктов</t>
  </si>
  <si>
    <t>1.5.4.2.19.1.6. ИМБТ на содержание площадки временного размещения ТБО в с. Копыловка</t>
  </si>
  <si>
    <t>1.5.4.2.19.1.7. ИМБТ на разработку ландшафтного проекта благоустройства территории, расположенной по адресу: Томская область, г. Колпашево, ул. Кирова, 28</t>
  </si>
  <si>
    <t>1.5.4.2.19.1.8. ИМБТ на купирование и ликвидацию аварийных деревьев Колпашевское</t>
  </si>
  <si>
    <t>1.5.4.2.19.1.9. ИМБТ на обустройство новогоднего городка в микрорайоне Матьянга г.Колпашево в 2016 году</t>
  </si>
  <si>
    <t>1.5.4.2.19.2.1. МБТ из резервного фонда финансирования непредвиденных расходов Администрации Томской области (в соответствии с распоряжением АТО от 28.04.2016 № 38-р-в)</t>
  </si>
  <si>
    <t>0107</t>
  </si>
  <si>
    <t>0703</t>
  </si>
  <si>
    <t>01.01.2017- 22.12.2017</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</si>
  <si>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t>
  </si>
  <si>
    <t>Постановление Администрации Колпашевскогго района от 16.04.2015 № 417 "О порядке распределения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(в редакции от 08.09.2015 № 900, от 10.02.2016 № 104, от 11.01.2017 № 3)</t>
  </si>
  <si>
    <t>06.12.2016- 31.12.2016</t>
  </si>
  <si>
    <t>Постановление Администрации Колпашевского района от 23.12.2016 № 1395 "О порядке расходования средств субсидии на компенсацию расходов по организации электроснабжения от дизельных электростанций"</t>
  </si>
  <si>
    <t>01.01.2017- 31.12.2017</t>
  </si>
  <si>
    <t>(587)</t>
  </si>
  <si>
    <t>1.5.4.2.4.2. субсидии местным бюджетам на создание условий для управления многоквартирными домами</t>
  </si>
  <si>
    <t>1.1.31.5. субсидий местным бюджетам на укрепление материально-технической базы физической культуры и спорта муниципальных образований, принимающих областные сельские спортивные игры, в рамках государственной программы "Развитие молодежной политики, физической культуры и спорта в Томской области" на 2017 год и на плановый период 2018 и 2019 годов</t>
  </si>
  <si>
    <t>(590)</t>
  </si>
  <si>
    <t>Постановление Администрации Колпашевского района от 03.02.2014 № 88 "О мерах по реализации Закона Томской области от 09.12.2013 №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(в редакции от 10.06.2016 № 642, от 18.11.2016 № 1270, от 27.01.2017 № 35)</t>
  </si>
  <si>
    <t>Решение Думы Колпашевского района  от 18.03.2011 № 23 "Об организации проведения районных мероприятий и обеспечении участия в мероприятиях регионального, межрегионального, федерального уровней в сфере образования" ( в редакции решений от 16.12.2011 № 167, от  17.06.2013 № 56, от 28.05.2014 № 51, от 02.11.2015 № 6, от 30.05.2016 № 41, от 24.11.2016 № 112, от 16.02.2017 № 3)</t>
  </si>
  <si>
    <t>Решение Думы Колпашевского района от 16.02.2017 № 4 "О предоставлении за счет средств бюджета МО "Колпашевский район"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</si>
  <si>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16.02.2017- 31.12.2017</t>
  </si>
  <si>
    <t>1.5.4.2.19.1.10. ИМБТ на участие в организации деятельности по сбору и транспортированию твердых бытовых отходов</t>
  </si>
  <si>
    <t>(305)</t>
  </si>
  <si>
    <t>Решение Думы Колпашевского района от 16.02.2017 № 7 "О предоставлении иных межбюджетных трансфертов бюджетам муниципальных образований "Инкинское сельское поселение", "Новогоренское сельское поселение" на участие в организации деятельности по сбору и транспортированию твердых коммунальных отходов"</t>
  </si>
  <si>
    <t>16.02.2017- 05.07.2017</t>
  </si>
  <si>
    <t>Решение Думы Колпашевского района от 24.08.2016 № 73 "О предоставлении иных межбюджетных трансфертов бюджету муниципального образования "Дальненское сельское поселение" на приобретение и доставку дизельной электрической установки в п.Куржино и отмене решений Думы Колпашевского района от 25.04.2016 № 28 и от 25.04.2016 № 30" (в редакции от 16.02.2017 № 8)</t>
  </si>
  <si>
    <t>24.08.2016- 31.12.2016</t>
  </si>
  <si>
    <t>1.5.4.2.2.1.5. ИМБТ на ремонт оборудования дизельной электростанции в п.Копыловка</t>
  </si>
  <si>
    <t>1.5.4.2.2.1.6. ИМБТ на ремонт трансформаторных подстанций в п.Копыловка</t>
  </si>
  <si>
    <t>1.5.4.2.2.1.7. ИМБТ на ремонт системы теплоснабжения помещений в здании по адресу: Томская область, Колпашевский район, с.Инкино, пер.Кооперативный, д.11</t>
  </si>
  <si>
    <t>1.5.4.2.2.1.8. ИМБТ на организацию теплоснабжения многоквартирных жилых домов по адресам г. Колпашево, ул. Гоголя, 164, 166, 168, 170, 170/1</t>
  </si>
  <si>
    <t>1.5.4.2.2.1.9. ИМБТ на приобретение, доставку и работы по демонтажу, монтажу оборудования в котельной с. Маракса</t>
  </si>
  <si>
    <t>1.5.4.2.2.1.10. ИМБТ на приобретение и доставку дизельной электрической установки в п. Куржино</t>
  </si>
  <si>
    <t>1.5.4.2.2.1.11. ИМБТ на организацию теплоснабжения объектов с. Новогорное</t>
  </si>
  <si>
    <t>1.5.4.2.2.1.12. ИМБТ на ремонт кровли водонапорной башни в с. Новоильинка</t>
  </si>
  <si>
    <t>1.5.4.2.2.1.13. ИМБТ на приобретение запчастей и материалов для ДЭС п. Куржино</t>
  </si>
  <si>
    <t>1.5.4.2.2.1.14. ИМБТ на приобретение твердого топлива для организации теплоснабжения п. Куржино</t>
  </si>
  <si>
    <t>1.5.4.2.2.1.15. ИМБТ на ремонт сетей водоснабжения по ул. Юбилейной в с. Маракса</t>
  </si>
  <si>
    <t>1.5.4.2.2.1.16. ИМБТ на компенсацию убытков электроснабжающего предприятия от эксплуатации муниципальной дизельной электростанции</t>
  </si>
  <si>
    <t>1.5.4.2.2.1.17. ИМБТ на приобретение топлива для котельной с.Инкино</t>
  </si>
  <si>
    <t>1.5.4.2.2.1.18. ИМБТ на организацию электроснабжения с. Копыловка</t>
  </si>
  <si>
    <t>(100 301)</t>
  </si>
  <si>
    <t>Решение Думы Колпашевского района от 16.02.2017 № 9 "О предоставлении иных межбюджетных трансфертов бюджету муниципального образования "Копыловское сельское поселение" на организацию электроснабжения с. Копыловка"</t>
  </si>
  <si>
    <t>16.02.2017-10.10.2017</t>
  </si>
  <si>
    <t>1.5.4.2.2.1.19. ИМБТ на компенсацию убытков теплоснабжающих организаций от эксплуатации муниципальных котельных</t>
  </si>
  <si>
    <t>(100 304)</t>
  </si>
  <si>
    <t>Решение Думы Колпашевского района от 16.02.2017 № 10 "О предоставлении иных межбюджетных трансфертов бюджету муниципального образования "Колпашевское городское поселение" на компенсацию убытков теплоснабжающих организаций от эксплуатации муниципальных котельных"</t>
  </si>
  <si>
    <t>16.02.2017- 10.10.2017</t>
  </si>
  <si>
    <t>1.5.4.2.2.1.20. ИМБТ на аварийно - восстановительные работы по ремонту станции обезжелезивания по адресу с. Тогур, пер. Клубный, 3/1</t>
  </si>
  <si>
    <t>(100 303)</t>
  </si>
  <si>
    <t>Решение Думы Колпашевского района от 16.02.2017 № 11 "О предоставлении иных межбюджетных трансфертов бюджету муниципального образования "Колпашевское городское поселение" на аварийно-восстановительные работы по ремонту станции обезжелезивания по адресу: с.Тогур, пер.Клубный, 3/1"</t>
  </si>
  <si>
    <t>16.02.2017- 23.12.2017</t>
  </si>
  <si>
    <t>Постановление Администрации Колпашевского района от 20.02.2017 № 114 "О порядке расходования средств субсидии на обеспечение условий для развития физической культуры и массового спорта"</t>
  </si>
  <si>
    <t>01.01.2017- 26.12.2017</t>
  </si>
  <si>
    <t>(208 567)</t>
  </si>
  <si>
    <t>Решение Думы Колпашевского района от 25.03.2015 № 29 "О принятии муниципальным образованием "Колпашевский район" осуществления части полномочий по решению вопросов местного значения"</t>
  </si>
  <si>
    <t>Постановление Администрации Колпашевского района от 01.04.2015 № 371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поселений Колпашевского района "Создание условий для организации досуга и обеспечения жителей поселения услугами организаций культуры"</t>
  </si>
  <si>
    <t>Постановление Администрации Колпашевского района от 16.12.2015 № 1301 "Об утверждении Порядка формирования муниципального задания в отношении муниципальных учреждений муниципального образования "Колпашевский район" и Порядка финансового обеспечения выполнения муниципального задания муниципальными учреждениями в муниципальном образовании "Колпашевский район" (в редакции от 18.01.2016 № 11, от 06.07.2016 № 738, от 11.11.2016 № 1250)</t>
  </si>
  <si>
    <t>Закон РФ от 09.10.1992 N 3612-I "Основы законодательства Российской Федерации о культуре"</t>
  </si>
  <si>
    <t>09.10.1992, не установлен</t>
  </si>
  <si>
    <t>13.05.2016- 31.12.2016</t>
  </si>
  <si>
    <t>Федеральный закон от 04.12.2007 N 329-ФЗ "О физической культуре и спорте в Российской Федерации"</t>
  </si>
  <si>
    <t>ст.9</t>
  </si>
  <si>
    <t>30.03.2008, не установлен</t>
  </si>
  <si>
    <t>Закон Томской области от 07.06.2010 N 94-ОЗ "О физической культуре и спорте в Томской области"</t>
  </si>
  <si>
    <t>27.06.2010, не установлен</t>
  </si>
  <si>
    <t>ст.19-1</t>
  </si>
  <si>
    <t>(569) (588)</t>
  </si>
  <si>
    <t>1.5.4.2.2.1.21. ИМБТ на строительство, реконструкцию объектов муниципальной собственности</t>
  </si>
  <si>
    <t>1.5.4.2.19.1.11.ИМБТ на выполнение мероприятий по благоустройству населенных пунктов Колпашевского района</t>
  </si>
  <si>
    <t>Реестр расходных обязательств муниципального образования "Колпашевский район" на 2017 год (по состоянию на 06.04.2017)</t>
  </si>
  <si>
    <t>(611) (801)</t>
  </si>
  <si>
    <t>(499 710)</t>
  </si>
  <si>
    <t>(352) (100 306)</t>
  </si>
  <si>
    <t>1.5.4.2.2.1.22. Иные межбюджетные трансферты на оплату за уличное освещение</t>
  </si>
  <si>
    <t>(100 309)</t>
  </si>
  <si>
    <t>1.5.4.2.3.5. Иные межбюджетные трансферты на ремонт автомобильных дорог общего пользования местного значения в границах населенных пунктов поселений муниципального образования "Колпашевский район"</t>
  </si>
  <si>
    <t>(100 310)</t>
  </si>
  <si>
    <t>1.5.4.2.8.5. Иные межбюджетные трансферты на обеспечение населенных пунктов Чажемтовского сельского поселения, расположенных в лесной зоне или в зоне ежегодного подтопления, системами связи и оповещения населения о пожарах и других чрезвычайных ситуациях</t>
  </si>
  <si>
    <t>(100 308)</t>
  </si>
  <si>
    <t>1.5.4.2.9.3. ИМБТ на обустройство и ремонт источников противопожарного водоснабжения, расположенных в населенных пунктах поселения</t>
  </si>
  <si>
    <t>(100 300)</t>
  </si>
  <si>
    <t>1.5.4.2.9.4. Иные межбюджетные трансферты на создание условий для деятельности добровольной пожарной команды на территории д. Север, Колпашевского городского поселения</t>
  </si>
  <si>
    <t>(100 307)</t>
  </si>
  <si>
    <t>1920 (213 802)</t>
  </si>
  <si>
    <t>1.5.4.2.2.2.6. Субсидия на мероприятия по обеспечению населения Томской области питьевой водой</t>
  </si>
  <si>
    <t>1920</t>
  </si>
  <si>
    <t>1910</t>
  </si>
  <si>
    <t>Постановление Администрации Колпашевского района от 27.02.2017 № 129 "О предоставлении иных межбюджетных трансфертов бюджету муниципального образования "Новосёловское сельское поселение" на подготовку спортивных сооружений к проведению межпоселенческой спартакиады в с. Новосёлово в 2017 году"</t>
  </si>
  <si>
    <t>27.02.2017- 01.05.2017</t>
  </si>
  <si>
    <t>Постановление Администрации Колашевского района от 12.02.2016 № 141 "О порядке расходования средств 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(должностному окладу) из областного бюджета" (вредакции от 01.03.2017 № 150)</t>
  </si>
  <si>
    <t>12.02.2016- 31.12.2017</t>
  </si>
  <si>
    <t>Постановление Администрации Колпашевского района от 15.03.2017 № 211 "О порядке использования средств муниципальной программы "Обеспечение безопасности населения Колпашевского района", предусмотренных на создание условий для деятельности добровольных пожарных команд на территориях населённых пунктов, не прикрытых подразделениями пожарной охраны"</t>
  </si>
  <si>
    <t>15.03.2017- 20.12.2017</t>
  </si>
  <si>
    <t>Постановление Администрации Колпашевского района от 15.03.2017 № 212 "О порядке использования средств муниципальной программы "Обеспечение безопасности населения Колпашевского района", предусмотренных на обустройство и ремонт источников противопожарного водоснабжения в населённых пунктах Колпашевского района"</t>
  </si>
  <si>
    <t>Постановление Администрации Колпашевского района от 15.03.2017 № 213 "О порядке использования средств муниципальной программы "Обеспечение безопасности населения Колпашевского района", предусмотренных на обеспечение населённых пунктов, расположенных в лесной зоне или в зоне ежегодного подтопления, системами связи и оповещения населения о пожарах и других чрезвычайных ситуациях"</t>
  </si>
  <si>
    <t>Постановление Администрации Колпашевского района от 09.04.2014 № 324 "О порядке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(в редакции постановлений от 16.03.2015 № 294, от 21.03.2016 № 286, от 17.03.2017 № 227)</t>
  </si>
  <si>
    <t>Постановление Администрации Колпашевского района от 22.03.2017 № 249 "О порядке использования средств субсидии из областного бюджета на ремонт автомобильных дорог общего пользования местного значения в рамках государственной программы "Развитие транспортной системы в Томской области"</t>
  </si>
  <si>
    <t>22.03.2017- 29.10.2017</t>
  </si>
  <si>
    <t>Постановление Главы Колпашевского района от 27.03.2017 № 41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13.03.2017 № 42-р-в)</t>
  </si>
  <si>
    <t>27.03.2017- 01.12.2017</t>
  </si>
  <si>
    <t>Постановление Главы Колпашевского района от 28.03.2017 № 43 "О распределении средств иных межбюджетных трансфертов Новоселовскому сельскому поселению на исполнение решений Колпашевского городского суда Томской области"</t>
  </si>
  <si>
    <t>28.03.2017- 20.12.2017</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</si>
  <si>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 от 05.09.2013 № 69, от 28.10.2013 № 87, от 30.01.2014 № 3, от 15.12.2014 № 133, от 15.12.2014 № 134, от 07.09.2015 № 81, от 21.12.2015 № 50, от 24.11.2016 № 111, 19.12.2016 № 124, от 16.02.2017 № 2, от 28.03.2017 № 14)</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</si>
  <si>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372" (в редакции от 06.12.2016 № 1330, от 27.03.2017 № 259)</t>
  </si>
  <si>
    <t>Решение Думы Колпашевского района от 28.03.2017 № 19 "О предоставлении иных межбюджетных трансфертов бюджету муниципального образования "Дальненское сельское поселение" на оплату за уличное освещение"</t>
  </si>
  <si>
    <t>Решение Думы Колпашевского района от 28.03.2017 № 20 "О предоставлении иных межбюджетных трансфертов бюджету муниципального образования "Копыловское сельское поселение" на оплату за уличное освещение"</t>
  </si>
  <si>
    <t>Решение Думы Колпашевского района от 19.12.2016 № 135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2017 году" (в редакции от 28.03.2017 № 21)</t>
  </si>
  <si>
    <t>Решение Думы Колпашевского района от 28.03.2017 № 22 "О предоставлении иных межбюджетных трансфертов бюджетам муниципальных образований Колпашевского района на ремонт автомобильных дорог общего пользования местного значения в границах населенных пунктов поселений муниципального образования "Колпашевский район"</t>
  </si>
  <si>
    <t>28.03.2017-29.10.2017</t>
  </si>
  <si>
    <t>Постановление Главы Колпашевского района от 04.04.2017 № 47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13.03.2017 № 42-р-в)</t>
  </si>
  <si>
    <t>04.04.2017- 01.12.2017</t>
  </si>
  <si>
    <t>Постановление Администрации Колпашевского района от 04.04.2017 № 290 "О порядке расходования неиспользованных в 2016 году средств субсидии из областного бюджета на реализацию мероприятия "Предоставление субсидий бюджетам муниципальных образований Томской области на подготовку документации по планировке и межеванию территорий населенных пунктов Томской области" подпрограммы "Стимулирование развития жилищного строительства в Томской области" государственной программы "Обеспечение доступности жилья и улучшения качества жилищных условий населения Томской области"</t>
  </si>
  <si>
    <t>04.04.2017- 20.12.2017</t>
  </si>
  <si>
    <t>Постановление Администрации Колпашевского района от 05.04.2017 № 291 "О порядке расходования средств субсидии на софинансирование расходных обязательств муниципального образования "Колпашевский район" на предоставление социальных выплат молодым семьям наприобретение (строительство) жилья в рамках подпрограммы "Обеспечение жильём молодых семей" федеральной целевой программы "Жилище" на 2015-2020 годы"</t>
  </si>
  <si>
    <t>05.04.2017- 31.12.2017</t>
  </si>
  <si>
    <t>Постановление Администрации Колпашевского района от 20.02.2013 № 146 "О порядке расходования средств иных межбюджетных трансфертов на стимулирующие выплаты за высокие результаты и качество выполняемых работ в муниципальных общеобразовательных организациях" (в редакции от 10.12.2013 № 1285, от 03.04.2014 № 304, от 09.09.2015 № 911, от 05.04.2017 № 301)</t>
  </si>
  <si>
    <t>Постановление Администрации Колпашевского района от 06.04.2017 № 304 "О порядке расходования средств субсидии на реализацию мероприятий федеральной целевой программы "Устойчивое развитие сельских территорий на 2014 - 2017 годы и на период до 2020 года" местному бюджету муниципального образования "Колпашевский район"</t>
  </si>
  <si>
    <t>06.04.2017- 31.12.2017</t>
  </si>
  <si>
    <t>проект</t>
  </si>
  <si>
    <t>Распоряжение Администрации Колпашевского района от 23.12.2016 № 550 "О распределении денежных средств на осуществление дорожной деятельности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в границах муниципального образования "Колпашевский район" на 2017 г."</t>
  </si>
  <si>
    <t>Постановление Администрации Колпашевского района от 22.03.2017 № 249 "О порядке использования средств субсидии из областного бюджета на капитальный ремонт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t>
  </si>
  <si>
    <t>22.03.2017- 31.10.2017</t>
  </si>
  <si>
    <t>Решение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населению по маршрутам между поселениями в границах МО "Колпашевский район" (в редакции от 29.11.2006 № 237, от 27.04.2007 № 320, от 15.05.2008 № 477, от 08.09.2008 № 539, от 23.04.2012 № 75, от 10.09.2012 №120, от 21.12.2015 № 56, от 28.03.2017 № 56)</t>
  </si>
  <si>
    <t>Постановление Администрации Колпашевского района от 29.04.2016 № 433 "О согласовании размера провозной платы за перевозку пассажиров, в навигацию 2016 года, речным транспортом ООО "Переправа" по маршрутам № 1 "Тогур - Копыловка", № 2 "Тогур - Лебяжье"</t>
  </si>
  <si>
    <t>(остаток средств, возвращены в бюджет Томской области)</t>
  </si>
  <si>
    <t>Решение Думы Колпашевского района от 19.11.2012 № 142 "Об утверждении Положения «О звании «Почётный гражданин Колпашевского района» (в редакции от 28.03.2017 № 17)</t>
  </si>
  <si>
    <t>01.01.2008- 31.12.2016</t>
  </si>
  <si>
    <t xml:space="preserve">Постановление 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 от 29.12.2014 № 1631, 
от 17.06.2015 № 589, от 24.09.2015 № 976, от 18.12.2015 № 1326, 
от 06.09.2016 № 1025, от 29.09.2016 № 1098, от 27.12.2016 № 1424)
</t>
  </si>
  <si>
    <t>Решение Думы Колпашевского района от 28.03.2017 № 15 "О финансировании расходов на обеспечение условий для развития физической культуры и массового спорта на территории Колпашевского района"</t>
  </si>
  <si>
    <t>28.10.2009, не установлен</t>
  </si>
  <si>
    <t>Решение Думы Колпашевского района от 15.12.2014 № 150 "О принятии муниципальным образованием "Колпашевский район" осуществления части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поселения" (в редакции от 29.02.2016 № 9)</t>
  </si>
  <si>
    <t>Постановление Администрации Колпашевского района от 30.12.2014 № 1636 "Об утверждении Порядка организации библиотечного обслуживания населения сельских поселений Колпашевского района, комплектования и обеспечения сохранности библиотечных фондов библиотек сельских поселений Колпашевского района"</t>
  </si>
  <si>
    <t>17.06.2013, не установлен</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</si>
  <si>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 (в редакции от 28.06.2016 № 55)</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</si>
  <si>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 редакции от 30.06.2016 № 713, от 18.10.2016 № 1143, от 20.12.2016 № 1373)</t>
  </si>
  <si>
    <t>14.05.2015, не установлен</t>
  </si>
  <si>
    <t>Постановление Администрации Колпашевского района от 15.07.2014 № 675 "Об утверждении порядка предоставления мер социальной поддержки медицинским работникам областного государственного бюджетного учреждения здравоохранения "Колпашевская районная больница" и лицам, заключившим ученический договор с областным государственным бюджетным учреждением здравоохранения "Колпашевская районная больница" (в редакции от 03.09.2014 № 95, от 13.11.2014 № 1312, от 25.11.2014 № 1369, от 22.12.2014 № 1513, от 25.03.2015 № 331, от 10.04.2015 № 394, от 02.09.2015 № 874, от 24.11.2015 № 1190, от 24.12.2015, от 08.04.2016 № 357, от 19.05.2016 № 521, от 24.08.2016 № 949, от 16.02.2017 № 105)</t>
  </si>
  <si>
    <t>Постановление Администрации Колпашевского района от 26.04.2016 № 414 "Об утверждении муниципальной программы "Развитие коммунальной инфраструктуры Колпашевского района"</t>
  </si>
  <si>
    <t>26.04.2016- 31.12.2021</t>
  </si>
  <si>
    <t>Постановление Администрации Колпашевского района от 27.02.2017 № 137 "Об установлении на 2017-2018 годы расходного обязательства муниципального образования "Колпашевский район"</t>
  </si>
  <si>
    <t>27.02.2017- 31.12.2018</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</si>
</sst>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
    <numFmt numFmtId="177" formatCode="#??/??"/>
    <numFmt numFmtId="178" formatCode="m/d/yy"/>
    <numFmt numFmtId="179" formatCode="d\-mmm\-yy"/>
    <numFmt numFmtId="180" formatCode="d\-mmm"/>
    <numFmt numFmtId="181" formatCode="mmm\-yy"/>
    <numFmt numFmtId="182" formatCode="m/d/yyyy\ h:mm"/>
    <numFmt numFmtId="183" formatCode="\(#,##0_);\(#,##0\)"/>
    <numFmt numFmtId="184" formatCode="\(#,##0_);[Red]\(#,##0\)"/>
    <numFmt numFmtId="185" formatCode="\(#,##0.00_);\(#,##0.00\)"/>
    <numFmt numFmtId="186" formatCode="\(#,##0.00_);[Red]\(#,##0.00\)"/>
    <numFmt numFmtId="187" formatCode="_(* #,##0_);_(* \(#,##0\);_(* &quot;-&quot;_);_(@_)"/>
    <numFmt numFmtId="188" formatCode="_(&quot;$&quot;* #,##0_);_(&quot;$&quot;* \(#,##0\);_(&quot;$&quot;* &quot;-&quot;_);_(@_)"/>
    <numFmt numFmtId="189" formatCode="_(* #,##0.00_);_(* \(#,##0.00\);_(* &quot;-&quot;??_);_(@_)"/>
    <numFmt numFmtId="190" formatCode="_(&quot;$&quot;* #,##0.00_);_(&quot;$&quot;* \(#,##0.00\);_(&quot;$&quot;* &quot;-&quot;??_);_(@_)"/>
    <numFmt numFmtId="191" formatCode="[$-10419]#,##0.0;\-#,##0.0"/>
    <numFmt numFmtId="192" formatCode="#,##0.0_ ;\-#,##0.0\ "/>
    <numFmt numFmtId="193" formatCode="#,##0.0"/>
    <numFmt numFmtId="194" formatCode="[$-10419]#,##0.00;\-#,##0.00"/>
    <numFmt numFmtId="195" formatCode="[$-10419]#,##0.000;\-#,##0.000"/>
    <numFmt numFmtId="196" formatCode="#,##0.00_ ;\-#,##0.00\ "/>
    <numFmt numFmtId="197" formatCode="#,##0.000_ ;\-#,##0.000\ "/>
    <numFmt numFmtId="198" formatCode="#,##0.0000_ ;\-#,##0.0000\ "/>
    <numFmt numFmtId="199" formatCode="#,##0.00000_ ;\-#,##0.00000\ "/>
    <numFmt numFmtId="200" formatCode="#,##0.000000_ ;\-#,##0.000000\ "/>
    <numFmt numFmtId="201" formatCode="#,##0.0000000_ ;\-#,##0.0000000\ "/>
    <numFmt numFmtId="202" formatCode="#,##0.00000000_ ;\-#,##0.00000000\ "/>
    <numFmt numFmtId="203" formatCode="[$-FC19]d\ mmmm\ yyyy\ &quot;г.&quot;"/>
    <numFmt numFmtId="204" formatCode="0.0"/>
    <numFmt numFmtId="205" formatCode="[$-10419]#,##0;\-#,##0"/>
    <numFmt numFmtId="206" formatCode="[$-10419]#,##0.0000;\-#,##0.0000"/>
    <numFmt numFmtId="207" formatCode="#,##0.000000000_ ;\-#,##0.000000000\ "/>
    <numFmt numFmtId="208" formatCode="#,##0.0000000000_ ;\-#,##0.0000000000\ "/>
    <numFmt numFmtId="209" formatCode="#,##0.00000000000_ ;\-#,##0.00000000000\ "/>
    <numFmt numFmtId="210" formatCode="#,##0.000000000000_ ;\-#,##0.000000000000\ "/>
    <numFmt numFmtId="211" formatCode="#,##0.0000000000000_ ;\-#,##0.0000000000000\ "/>
  </numFmts>
  <fonts count="48">
    <font>
      <sz val="10"/>
      <name val="Arial"/>
      <family val="0"/>
    </font>
    <font>
      <sz val="14"/>
      <name val="Times New Roman"/>
      <family val="1"/>
    </font>
    <font>
      <sz val="9"/>
      <name val="Times New Roman CYR"/>
      <family val="1"/>
    </font>
    <font>
      <sz val="9"/>
      <name val="Times New Roman"/>
      <family val="1"/>
    </font>
    <font>
      <b/>
      <sz val="9"/>
      <name val="Times New Roman"/>
      <family val="1"/>
    </font>
    <font>
      <b/>
      <i/>
      <sz val="9"/>
      <name val="Times New Roman"/>
      <family val="1"/>
    </font>
    <font>
      <b/>
      <sz val="9"/>
      <name val="Times New Roman CYR"/>
      <family val="1"/>
    </font>
    <font>
      <sz val="9"/>
      <name val="Arial Cyr"/>
      <family val="0"/>
    </font>
    <font>
      <sz val="12"/>
      <name val="Times New Roman"/>
      <family val="1"/>
    </font>
    <font>
      <sz val="10"/>
      <name val="Times New Roman"/>
      <family val="1"/>
    </font>
    <font>
      <sz val="6"/>
      <name val="Arial"/>
      <family val="2"/>
    </font>
    <font>
      <sz val="8"/>
      <name val="Arial"/>
      <family val="2"/>
    </font>
    <font>
      <b/>
      <sz val="14"/>
      <name val="Times New Roman"/>
      <family val="1"/>
    </font>
    <font>
      <i/>
      <sz val="9"/>
      <name val="Times New Roman"/>
      <family val="1"/>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color indexed="8"/>
      </bottom>
    </border>
    <border>
      <left style="thin">
        <color indexed="8"/>
      </left>
      <right style="thin"/>
      <top>
        <color indexed="63"/>
      </top>
      <bottom>
        <color indexed="63"/>
      </bottom>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right style="thin"/>
      <top style="thin"/>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top style="thin">
        <color indexed="8"/>
      </top>
      <bottom style="thin"/>
    </border>
    <border>
      <left style="thin"/>
      <right style="thin"/>
      <top style="thin">
        <color indexed="8"/>
      </top>
      <bottom style="thin"/>
    </border>
    <border>
      <left style="thin"/>
      <right style="thin">
        <color indexed="8"/>
      </right>
      <top style="thin">
        <color indexed="8"/>
      </top>
      <bottom style="thin"/>
    </border>
    <border>
      <left>
        <color indexed="63"/>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bottom style="thin">
        <color indexed="8"/>
      </bottom>
    </border>
    <border>
      <left style="thin"/>
      <right style="thin"/>
      <top style="thin"/>
      <bottom style="thin">
        <color indexed="8"/>
      </bottom>
    </border>
    <border>
      <left style="thin"/>
      <right style="thin">
        <color indexed="8"/>
      </right>
      <top style="thin"/>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color indexed="8"/>
      </right>
      <top>
        <color indexed="63"/>
      </top>
      <bottom style="thin"/>
    </border>
    <border>
      <left style="thin"/>
      <right style="thin">
        <color indexed="8"/>
      </right>
      <top style="thin"/>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90" fontId="0" fillId="0" borderId="0" applyFont="0" applyFill="0" applyBorder="0" applyAlignment="0" applyProtection="0"/>
    <xf numFmtId="18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47" fillId="32" borderId="0" applyNumberFormat="0" applyBorder="0" applyAlignment="0" applyProtection="0"/>
  </cellStyleXfs>
  <cellXfs count="549">
    <xf numFmtId="0" fontId="0" fillId="0" borderId="0" xfId="0" applyAlignment="1">
      <alignment/>
    </xf>
    <xf numFmtId="0" fontId="2" fillId="0" borderId="10" xfId="0" applyNumberFormat="1" applyFont="1" applyFill="1" applyBorder="1" applyAlignment="1" applyProtection="1">
      <alignment horizontal="center" vertical="center" wrapText="1" shrinkToFit="1"/>
      <protection locked="0"/>
    </xf>
    <xf numFmtId="14" fontId="2" fillId="0" borderId="10" xfId="0" applyNumberFormat="1" applyFont="1" applyFill="1" applyBorder="1" applyAlignment="1" applyProtection="1">
      <alignment horizontal="center" vertical="center" wrapText="1" shrinkToFit="1"/>
      <protection locked="0"/>
    </xf>
    <xf numFmtId="0" fontId="3" fillId="0" borderId="11" xfId="0" applyNumberFormat="1" applyFont="1" applyFill="1" applyBorder="1" applyAlignment="1" applyProtection="1">
      <alignment horizontal="center" vertical="center" wrapText="1" shrinkToFit="1"/>
      <protection locked="0"/>
    </xf>
    <xf numFmtId="0" fontId="3" fillId="0" borderId="10" xfId="0" applyNumberFormat="1" applyFont="1" applyFill="1" applyBorder="1" applyAlignment="1" applyProtection="1">
      <alignment horizontal="center" vertical="center" wrapText="1" shrinkToFit="1"/>
      <protection locked="0"/>
    </xf>
    <xf numFmtId="0" fontId="2" fillId="0" borderId="12" xfId="0" applyNumberFormat="1" applyFont="1" applyFill="1" applyBorder="1" applyAlignment="1" applyProtection="1">
      <alignment horizontal="center" vertical="center" wrapText="1" shrinkToFit="1"/>
      <protection locked="0"/>
    </xf>
    <xf numFmtId="0" fontId="3" fillId="0" borderId="13" xfId="0" applyNumberFormat="1" applyFont="1" applyFill="1" applyBorder="1" applyAlignment="1" applyProtection="1">
      <alignment horizontal="center" vertical="center" wrapText="1" shrinkToFit="1"/>
      <protection locked="0"/>
    </xf>
    <xf numFmtId="0" fontId="2" fillId="0" borderId="14" xfId="0" applyNumberFormat="1" applyFont="1" applyFill="1" applyBorder="1" applyAlignment="1" applyProtection="1">
      <alignment horizontal="center" vertical="center" wrapText="1" shrinkToFit="1"/>
      <protection locked="0"/>
    </xf>
    <xf numFmtId="0" fontId="6" fillId="0" borderId="15" xfId="0" applyNumberFormat="1" applyFont="1" applyFill="1" applyBorder="1" applyAlignment="1" applyProtection="1">
      <alignment horizontal="center" vertical="center" wrapText="1" shrinkToFit="1"/>
      <protection locked="0"/>
    </xf>
    <xf numFmtId="0" fontId="4" fillId="0" borderId="15" xfId="52" applyNumberFormat="1" applyFont="1" applyFill="1" applyBorder="1" applyAlignment="1">
      <alignment horizontal="center" vertical="center" wrapText="1"/>
      <protection/>
    </xf>
    <xf numFmtId="0" fontId="4" fillId="0" borderId="15" xfId="0" applyNumberFormat="1" applyFont="1" applyFill="1" applyBorder="1" applyAlignment="1" applyProtection="1">
      <alignment horizontal="center" vertical="center" wrapText="1" shrinkToFit="1"/>
      <protection locked="0"/>
    </xf>
    <xf numFmtId="0" fontId="5" fillId="0" borderId="15" xfId="52" applyNumberFormat="1" applyFont="1" applyFill="1" applyBorder="1" applyAlignment="1">
      <alignment horizontal="center" vertical="center" wrapText="1"/>
      <protection/>
    </xf>
    <xf numFmtId="0" fontId="5" fillId="0" borderId="15" xfId="0" applyNumberFormat="1" applyFont="1" applyFill="1" applyBorder="1" applyAlignment="1" applyProtection="1">
      <alignment horizontal="center" vertical="center" wrapText="1" shrinkToFit="1"/>
      <protection locked="0"/>
    </xf>
    <xf numFmtId="0" fontId="2" fillId="0" borderId="16" xfId="0" applyNumberFormat="1" applyFont="1" applyFill="1" applyBorder="1" applyAlignment="1" applyProtection="1">
      <alignment horizontal="center" vertical="center" wrapText="1" shrinkToFit="1"/>
      <protection locked="0"/>
    </xf>
    <xf numFmtId="0" fontId="2"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shrinkToFit="1"/>
      <protection locked="0"/>
    </xf>
    <xf numFmtId="14" fontId="3" fillId="0" borderId="13" xfId="0" applyNumberFormat="1" applyFont="1" applyFill="1" applyBorder="1" applyAlignment="1" applyProtection="1">
      <alignment horizontal="center" vertical="center" wrapText="1" shrinkToFit="1"/>
      <protection locked="0"/>
    </xf>
    <xf numFmtId="0" fontId="3" fillId="0" borderId="12" xfId="0" applyNumberFormat="1" applyFont="1" applyFill="1" applyBorder="1" applyAlignment="1" applyProtection="1">
      <alignment horizontal="center" vertical="center" wrapText="1" shrinkToFit="1"/>
      <protection locked="0"/>
    </xf>
    <xf numFmtId="14" fontId="3" fillId="0" borderId="12" xfId="0" applyNumberFormat="1" applyFont="1" applyFill="1" applyBorder="1" applyAlignment="1" applyProtection="1">
      <alignment horizontal="center" vertical="center" wrapText="1" shrinkToFit="1"/>
      <protection locked="0"/>
    </xf>
    <xf numFmtId="0" fontId="3" fillId="0" borderId="12" xfId="0" applyNumberFormat="1" applyFont="1" applyFill="1" applyBorder="1" applyAlignment="1" applyProtection="1">
      <alignment horizontal="center" vertical="top" wrapText="1" shrinkToFit="1"/>
      <protection locked="0"/>
    </xf>
    <xf numFmtId="14" fontId="3" fillId="0" borderId="12" xfId="0" applyNumberFormat="1" applyFont="1" applyFill="1" applyBorder="1" applyAlignment="1" applyProtection="1">
      <alignment horizontal="center" vertical="top" wrapText="1" shrinkToFit="1"/>
      <protection locked="0"/>
    </xf>
    <xf numFmtId="0" fontId="2" fillId="0" borderId="12" xfId="0" applyNumberFormat="1" applyFont="1" applyFill="1" applyBorder="1" applyAlignment="1" applyProtection="1">
      <alignment horizontal="center" vertical="top" wrapText="1" shrinkToFit="1"/>
      <protection locked="0"/>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center" wrapText="1" shrinkToFit="1"/>
      <protection locked="0"/>
    </xf>
    <xf numFmtId="0" fontId="2" fillId="0" borderId="13" xfId="0" applyNumberFormat="1" applyFont="1" applyFill="1" applyBorder="1" applyAlignment="1" applyProtection="1">
      <alignment horizontal="center" vertical="center" wrapText="1" shrinkToFit="1"/>
      <protection locked="0"/>
    </xf>
    <xf numFmtId="0" fontId="3" fillId="0" borderId="10" xfId="0" applyNumberFormat="1" applyFont="1" applyFill="1" applyBorder="1" applyAlignment="1" applyProtection="1">
      <alignment vertical="center" wrapText="1" shrinkToFit="1"/>
      <protection locked="0"/>
    </xf>
    <xf numFmtId="14" fontId="3" fillId="0" borderId="10" xfId="0" applyNumberFormat="1" applyFont="1" applyFill="1" applyBorder="1" applyAlignment="1" applyProtection="1">
      <alignment horizontal="center" vertical="center" wrapText="1" shrinkToFit="1"/>
      <protection locked="0"/>
    </xf>
    <xf numFmtId="14" fontId="3" fillId="0" borderId="11" xfId="0" applyNumberFormat="1" applyFont="1" applyFill="1" applyBorder="1" applyAlignment="1" applyProtection="1">
      <alignment horizontal="center" vertical="center" wrapText="1" shrinkToFit="1"/>
      <protection locked="0"/>
    </xf>
    <xf numFmtId="0" fontId="2" fillId="0" borderId="16" xfId="0" applyNumberFormat="1" applyFont="1" applyFill="1" applyBorder="1" applyAlignment="1" applyProtection="1">
      <alignment horizontal="center" vertical="center" wrapText="1"/>
      <protection/>
    </xf>
    <xf numFmtId="14" fontId="2" fillId="0" borderId="16" xfId="0" applyNumberFormat="1" applyFont="1" applyFill="1" applyBorder="1" applyAlignment="1" applyProtection="1">
      <alignment horizontal="center" vertical="center" wrapText="1" shrinkToFit="1"/>
      <protection locked="0"/>
    </xf>
    <xf numFmtId="0" fontId="2" fillId="0" borderId="18" xfId="0" applyNumberFormat="1" applyFont="1" applyFill="1" applyBorder="1" applyAlignment="1" applyProtection="1">
      <alignment horizontal="center" vertical="center" wrapText="1" shrinkToFit="1"/>
      <protection locked="0"/>
    </xf>
    <xf numFmtId="0" fontId="2" fillId="0" borderId="19" xfId="0" applyNumberFormat="1" applyFont="1" applyFill="1" applyBorder="1" applyAlignment="1" applyProtection="1">
      <alignment horizontal="center" vertical="center" wrapText="1" shrinkToFit="1"/>
      <protection locked="0"/>
    </xf>
    <xf numFmtId="0" fontId="3" fillId="0" borderId="16" xfId="0" applyNumberFormat="1" applyFont="1" applyFill="1" applyBorder="1" applyAlignment="1" applyProtection="1">
      <alignment horizontal="center" vertical="center" wrapText="1" shrinkToFit="1"/>
      <protection locked="0"/>
    </xf>
    <xf numFmtId="0" fontId="2" fillId="0" borderId="20" xfId="0" applyNumberFormat="1" applyFont="1" applyFill="1" applyBorder="1" applyAlignment="1" applyProtection="1">
      <alignment horizontal="center" vertical="center" wrapText="1" shrinkToFit="1"/>
      <protection locked="0"/>
    </xf>
    <xf numFmtId="0" fontId="2" fillId="0" borderId="21" xfId="0" applyNumberFormat="1" applyFont="1" applyFill="1" applyBorder="1" applyAlignment="1" applyProtection="1">
      <alignment horizontal="center" vertical="center" wrapText="1" shrinkToFit="1"/>
      <protection locked="0"/>
    </xf>
    <xf numFmtId="0" fontId="2" fillId="0" borderId="22" xfId="0" applyNumberFormat="1" applyFont="1" applyFill="1" applyBorder="1" applyAlignment="1" applyProtection="1">
      <alignment horizontal="center" vertical="center" wrapText="1" shrinkToFit="1"/>
      <protection locked="0"/>
    </xf>
    <xf numFmtId="0" fontId="3" fillId="0" borderId="22" xfId="0" applyNumberFormat="1" applyFont="1" applyFill="1" applyBorder="1" applyAlignment="1" applyProtection="1">
      <alignment horizontal="center" vertical="center" wrapText="1" shrinkToFit="1"/>
      <protection locked="0"/>
    </xf>
    <xf numFmtId="0" fontId="2" fillId="0" borderId="16" xfId="0" applyNumberFormat="1" applyFont="1" applyFill="1" applyBorder="1" applyAlignment="1" applyProtection="1">
      <alignment horizontal="center" vertical="top" wrapText="1" shrinkToFit="1"/>
      <protection locked="0"/>
    </xf>
    <xf numFmtId="14" fontId="3" fillId="0" borderId="16" xfId="0" applyNumberFormat="1" applyFont="1" applyFill="1" applyBorder="1" applyAlignment="1" applyProtection="1">
      <alignment horizontal="center" vertical="center" wrapText="1" shrinkToFit="1"/>
      <protection locked="0"/>
    </xf>
    <xf numFmtId="0" fontId="3" fillId="0" borderId="14" xfId="0" applyNumberFormat="1" applyFont="1" applyFill="1" applyBorder="1" applyAlignment="1" applyProtection="1">
      <alignment horizontal="center" vertical="center" wrapText="1" shrinkToFit="1"/>
      <protection locked="0"/>
    </xf>
    <xf numFmtId="14" fontId="3" fillId="0" borderId="23" xfId="0" applyNumberFormat="1" applyFont="1" applyFill="1" applyBorder="1" applyAlignment="1" applyProtection="1">
      <alignment horizontal="center" vertical="center" wrapText="1" shrinkToFit="1"/>
      <protection locked="0"/>
    </xf>
    <xf numFmtId="14" fontId="2" fillId="0" borderId="24" xfId="0" applyNumberFormat="1" applyFont="1" applyFill="1" applyBorder="1" applyAlignment="1" applyProtection="1">
      <alignment horizontal="center" vertical="center" wrapText="1" shrinkToFit="1"/>
      <protection locked="0"/>
    </xf>
    <xf numFmtId="0" fontId="2" fillId="0" borderId="25" xfId="0" applyNumberFormat="1" applyFont="1" applyFill="1" applyBorder="1" applyAlignment="1" applyProtection="1">
      <alignment vertical="center" wrapText="1" shrinkToFit="1"/>
      <protection locked="0"/>
    </xf>
    <xf numFmtId="0" fontId="2" fillId="0" borderId="17" xfId="0" applyNumberFormat="1" applyFont="1" applyFill="1" applyBorder="1" applyAlignment="1" applyProtection="1">
      <alignment vertical="center" wrapText="1" shrinkToFit="1"/>
      <protection locked="0"/>
    </xf>
    <xf numFmtId="14" fontId="2" fillId="0" borderId="17" xfId="0" applyNumberFormat="1" applyFont="1" applyFill="1" applyBorder="1" applyAlignment="1" applyProtection="1">
      <alignment vertical="center" wrapText="1" shrinkToFit="1"/>
      <protection locked="0"/>
    </xf>
    <xf numFmtId="14" fontId="2" fillId="0" borderId="26" xfId="0" applyNumberFormat="1" applyFont="1" applyFill="1" applyBorder="1" applyAlignment="1" applyProtection="1">
      <alignment horizontal="center" vertical="center" wrapText="1" shrinkToFit="1"/>
      <protection locked="0"/>
    </xf>
    <xf numFmtId="0" fontId="3" fillId="0" borderId="21" xfId="0" applyNumberFormat="1" applyFont="1" applyFill="1" applyBorder="1" applyAlignment="1" applyProtection="1">
      <alignment horizontal="center" vertical="center" wrapText="1" shrinkToFit="1"/>
      <protection locked="0"/>
    </xf>
    <xf numFmtId="14" fontId="3" fillId="0" borderId="27" xfId="0" applyNumberFormat="1" applyFont="1" applyFill="1" applyBorder="1" applyAlignment="1" applyProtection="1">
      <alignment horizontal="center" vertical="center" wrapText="1" shrinkToFit="1"/>
      <protection locked="0"/>
    </xf>
    <xf numFmtId="14" fontId="3" fillId="0" borderId="22" xfId="0" applyNumberFormat="1" applyFont="1" applyFill="1" applyBorder="1" applyAlignment="1" applyProtection="1">
      <alignment horizontal="center" vertical="center" wrapText="1" shrinkToFit="1"/>
      <protection locked="0"/>
    </xf>
    <xf numFmtId="0" fontId="2" fillId="0" borderId="2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shrinkToFit="1"/>
      <protection locked="0"/>
    </xf>
    <xf numFmtId="14" fontId="4" fillId="0" borderId="22" xfId="0" applyNumberFormat="1" applyFont="1" applyFill="1" applyBorder="1" applyAlignment="1" applyProtection="1">
      <alignment horizontal="center" vertical="center" wrapText="1" shrinkToFit="1"/>
      <protection locked="0"/>
    </xf>
    <xf numFmtId="0" fontId="5" fillId="0" borderId="22" xfId="0" applyNumberFormat="1" applyFont="1" applyFill="1" applyBorder="1" applyAlignment="1" applyProtection="1">
      <alignment horizontal="center" vertical="center" wrapText="1" shrinkToFit="1"/>
      <protection locked="0"/>
    </xf>
    <xf numFmtId="0" fontId="3" fillId="0" borderId="16"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2" fillId="0" borderId="28" xfId="0" applyNumberFormat="1" applyFont="1" applyFill="1" applyBorder="1" applyAlignment="1" applyProtection="1">
      <alignment horizontal="center" vertical="top" wrapText="1" shrinkToFit="1"/>
      <protection locked="0"/>
    </xf>
    <xf numFmtId="0" fontId="2" fillId="0" borderId="28" xfId="0" applyNumberFormat="1" applyFont="1" applyFill="1" applyBorder="1" applyAlignment="1" applyProtection="1">
      <alignment horizontal="center" vertical="top" wrapText="1"/>
      <protection/>
    </xf>
    <xf numFmtId="0" fontId="2" fillId="0" borderId="25"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shrinkToFit="1"/>
      <protection locked="0"/>
    </xf>
    <xf numFmtId="14" fontId="3" fillId="0" borderId="10" xfId="0" applyNumberFormat="1" applyFont="1" applyFill="1" applyBorder="1" applyAlignment="1" applyProtection="1">
      <alignment horizontal="center" vertical="top" wrapText="1" shrinkToFit="1"/>
      <protection locked="0"/>
    </xf>
    <xf numFmtId="0" fontId="2" fillId="0" borderId="29"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horizontal="center" vertical="top" wrapText="1" shrinkToFit="1"/>
      <protection locked="0"/>
    </xf>
    <xf numFmtId="0" fontId="3" fillId="0" borderId="24"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2" fillId="0" borderId="12" xfId="0" applyNumberFormat="1" applyFont="1" applyFill="1" applyBorder="1" applyAlignment="1" applyProtection="1">
      <alignment horizontal="center" vertical="top" wrapText="1" shrinkToFit="1"/>
      <protection locked="0"/>
    </xf>
    <xf numFmtId="0" fontId="2" fillId="0" borderId="14" xfId="0" applyNumberFormat="1" applyFont="1" applyFill="1" applyBorder="1" applyAlignment="1" applyProtection="1">
      <alignment horizontal="center" vertical="top" wrapText="1" shrinkToFit="1"/>
      <protection locked="0"/>
    </xf>
    <xf numFmtId="0" fontId="2" fillId="0" borderId="23" xfId="0" applyNumberFormat="1" applyFont="1" applyFill="1" applyBorder="1" applyAlignment="1" applyProtection="1">
      <alignment horizontal="center" vertical="top" wrapText="1" shrinkToFit="1"/>
      <protection locked="0"/>
    </xf>
    <xf numFmtId="0" fontId="2" fillId="0" borderId="24" xfId="0" applyNumberFormat="1" applyFont="1" applyFill="1" applyBorder="1" applyAlignment="1" applyProtection="1">
      <alignment horizontal="center" vertical="top" wrapText="1" shrinkToFit="1"/>
      <protection locked="0"/>
    </xf>
    <xf numFmtId="0" fontId="2" fillId="0" borderId="30"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shrinkToFit="1"/>
      <protection locked="0"/>
    </xf>
    <xf numFmtId="0" fontId="2" fillId="0" borderId="29" xfId="0" applyNumberFormat="1" applyFont="1" applyFill="1" applyBorder="1" applyAlignment="1" applyProtection="1">
      <alignment horizontal="center" vertical="top" wrapText="1" shrinkToFit="1"/>
      <protection locked="0"/>
    </xf>
    <xf numFmtId="0" fontId="3" fillId="0" borderId="10" xfId="0" applyFont="1" applyFill="1" applyBorder="1" applyAlignment="1">
      <alignment horizontal="center" vertical="top"/>
    </xf>
    <xf numFmtId="0" fontId="3" fillId="0" borderId="29" xfId="0" applyNumberFormat="1" applyFont="1" applyFill="1" applyBorder="1" applyAlignment="1" applyProtection="1">
      <alignment horizontal="center" vertical="top" wrapText="1" shrinkToFit="1"/>
      <protection locked="0"/>
    </xf>
    <xf numFmtId="0" fontId="2" fillId="0" borderId="31" xfId="0" applyNumberFormat="1" applyFont="1" applyFill="1" applyBorder="1" applyAlignment="1" applyProtection="1">
      <alignment horizontal="center" vertical="center" wrapText="1" shrinkToFit="1"/>
      <protection locked="0"/>
    </xf>
    <xf numFmtId="0" fontId="2" fillId="0" borderId="32" xfId="0" applyNumberFormat="1" applyFont="1" applyFill="1" applyBorder="1" applyAlignment="1" applyProtection="1">
      <alignment horizontal="center" vertical="center" wrapText="1" shrinkToFit="1"/>
      <protection locked="0"/>
    </xf>
    <xf numFmtId="0" fontId="2" fillId="0" borderId="33" xfId="0" applyNumberFormat="1" applyFont="1" applyFill="1" applyBorder="1" applyAlignment="1" applyProtection="1">
      <alignment horizontal="center" vertical="center" wrapText="1" shrinkToFit="1"/>
      <protection locked="0"/>
    </xf>
    <xf numFmtId="0" fontId="6" fillId="0" borderId="18" xfId="0" applyNumberFormat="1" applyFont="1" applyFill="1" applyBorder="1" applyAlignment="1" applyProtection="1">
      <alignment vertical="center" wrapText="1" shrinkToFit="1"/>
      <protection locked="0"/>
    </xf>
    <xf numFmtId="0" fontId="6" fillId="0" borderId="10" xfId="0" applyNumberFormat="1" applyFont="1" applyFill="1" applyBorder="1" applyAlignment="1" applyProtection="1">
      <alignment vertical="center" wrapText="1" shrinkToFit="1"/>
      <protection locked="0"/>
    </xf>
    <xf numFmtId="0" fontId="6" fillId="0" borderId="24" xfId="0" applyNumberFormat="1" applyFont="1" applyFill="1" applyBorder="1" applyAlignment="1" applyProtection="1">
      <alignment vertical="center" wrapText="1" shrinkToFit="1"/>
      <protection locked="0"/>
    </xf>
    <xf numFmtId="191" fontId="3" fillId="0" borderId="13" xfId="0" applyNumberFormat="1" applyFont="1" applyFill="1" applyBorder="1" applyAlignment="1" applyProtection="1">
      <alignment vertical="top" wrapText="1" readingOrder="1"/>
      <protection locked="0"/>
    </xf>
    <xf numFmtId="191" fontId="3" fillId="0" borderId="34" xfId="0" applyNumberFormat="1" applyFont="1" applyFill="1" applyBorder="1" applyAlignment="1" applyProtection="1">
      <alignment vertical="top" wrapText="1" readingOrder="1"/>
      <protection locked="0"/>
    </xf>
    <xf numFmtId="0" fontId="2" fillId="0" borderId="11"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shrinkToFit="1"/>
      <protection locked="0"/>
    </xf>
    <xf numFmtId="0" fontId="2" fillId="0" borderId="26" xfId="0" applyNumberFormat="1" applyFont="1" applyFill="1" applyBorder="1" applyAlignment="1" applyProtection="1">
      <alignment horizontal="center" vertical="top" wrapText="1" shrinkToFit="1"/>
      <protection locked="0"/>
    </xf>
    <xf numFmtId="0" fontId="2" fillId="0" borderId="13"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25" xfId="0" applyNumberFormat="1" applyFont="1" applyFill="1" applyBorder="1" applyAlignment="1" applyProtection="1">
      <alignment horizontal="center" vertical="top" wrapText="1" shrinkToFit="1"/>
      <protection locked="0"/>
    </xf>
    <xf numFmtId="0" fontId="7" fillId="0" borderId="10" xfId="0" applyFont="1" applyFill="1" applyBorder="1" applyAlignment="1">
      <alignment horizontal="center" vertical="top"/>
    </xf>
    <xf numFmtId="0" fontId="2" fillId="0" borderId="22" xfId="0" applyNumberFormat="1" applyFont="1" applyFill="1" applyBorder="1" applyAlignment="1" applyProtection="1">
      <alignment horizontal="center" vertical="top" wrapText="1" shrinkToFit="1"/>
      <protection locked="0"/>
    </xf>
    <xf numFmtId="14" fontId="2" fillId="0" borderId="22" xfId="0" applyNumberFormat="1" applyFont="1" applyFill="1" applyBorder="1" applyAlignment="1" applyProtection="1">
      <alignment horizontal="center" vertical="top" wrapText="1" shrinkToFit="1"/>
      <protection locked="0"/>
    </xf>
    <xf numFmtId="0" fontId="2" fillId="0" borderId="35" xfId="0" applyNumberFormat="1" applyFont="1" applyFill="1" applyBorder="1" applyAlignment="1" applyProtection="1">
      <alignment horizontal="center" vertical="top" wrapText="1" shrinkToFit="1"/>
      <protection locked="0"/>
    </xf>
    <xf numFmtId="0" fontId="2" fillId="0" borderId="36"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protection/>
    </xf>
    <xf numFmtId="0" fontId="2" fillId="0" borderId="11" xfId="52" applyFont="1" applyFill="1" applyBorder="1" applyAlignment="1">
      <alignment horizontal="center" vertical="top" wrapText="1"/>
      <protection/>
    </xf>
    <xf numFmtId="0" fontId="2" fillId="0" borderId="11" xfId="0" applyNumberFormat="1" applyFont="1" applyFill="1" applyBorder="1" applyAlignment="1" applyProtection="1">
      <alignment horizontal="center" vertical="top" wrapText="1" shrinkToFit="1"/>
      <protection locked="0"/>
    </xf>
    <xf numFmtId="0" fontId="2" fillId="0" borderId="37" xfId="0" applyNumberFormat="1" applyFont="1" applyFill="1" applyBorder="1" applyAlignment="1" applyProtection="1">
      <alignment horizontal="center" vertical="top" wrapText="1" shrinkToFit="1"/>
      <protection locked="0"/>
    </xf>
    <xf numFmtId="0" fontId="2" fillId="0" borderId="38" xfId="0" applyNumberFormat="1" applyFont="1" applyFill="1" applyBorder="1" applyAlignment="1" applyProtection="1">
      <alignment horizontal="center" vertical="top" wrapText="1" shrinkToFit="1"/>
      <protection locked="0"/>
    </xf>
    <xf numFmtId="14" fontId="2" fillId="0" borderId="38" xfId="0" applyNumberFormat="1" applyFont="1" applyFill="1" applyBorder="1" applyAlignment="1" applyProtection="1">
      <alignment horizontal="center" vertical="top" wrapText="1" shrinkToFit="1"/>
      <protection locked="0"/>
    </xf>
    <xf numFmtId="0" fontId="2" fillId="0" borderId="39" xfId="0" applyNumberFormat="1" applyFont="1" applyFill="1" applyBorder="1" applyAlignment="1" applyProtection="1">
      <alignment horizontal="center" vertical="top" wrapText="1" shrinkToFit="1"/>
      <protection locked="0"/>
    </xf>
    <xf numFmtId="0" fontId="2" fillId="0" borderId="13" xfId="0" applyNumberFormat="1" applyFont="1" applyFill="1" applyBorder="1" applyAlignment="1" applyProtection="1">
      <alignment horizontal="center" vertical="top" wrapText="1" shrinkToFit="1"/>
      <protection locked="0"/>
    </xf>
    <xf numFmtId="0" fontId="2" fillId="0" borderId="15" xfId="0" applyNumberFormat="1" applyFont="1" applyFill="1" applyBorder="1" applyAlignment="1" applyProtection="1">
      <alignment horizontal="center" vertical="center" wrapText="1" shrinkToFit="1"/>
      <protection locked="0"/>
    </xf>
    <xf numFmtId="0" fontId="2" fillId="0" borderId="15" xfId="0" applyNumberFormat="1" applyFont="1" applyFill="1" applyBorder="1" applyAlignment="1" applyProtection="1">
      <alignment horizontal="center" vertical="top" wrapText="1" shrinkToFit="1"/>
      <protection locked="0"/>
    </xf>
    <xf numFmtId="0" fontId="3" fillId="0" borderId="15" xfId="52" applyNumberFormat="1" applyFont="1" applyFill="1" applyBorder="1" applyAlignment="1">
      <alignment horizontal="center" vertical="top" wrapText="1"/>
      <protection/>
    </xf>
    <xf numFmtId="0" fontId="3" fillId="0" borderId="15" xfId="0" applyNumberFormat="1" applyFont="1" applyFill="1" applyBorder="1" applyAlignment="1" applyProtection="1">
      <alignment horizontal="center" vertical="top" wrapText="1" shrinkToFit="1"/>
      <protection locked="0"/>
    </xf>
    <xf numFmtId="0" fontId="2" fillId="0" borderId="15" xfId="0" applyNumberFormat="1" applyFont="1" applyFill="1" applyBorder="1" applyAlignment="1" applyProtection="1">
      <alignment horizontal="center" vertical="top" wrapText="1"/>
      <protection/>
    </xf>
    <xf numFmtId="0" fontId="3" fillId="0" borderId="28" xfId="0" applyNumberFormat="1" applyFont="1" applyFill="1" applyBorder="1" applyAlignment="1" applyProtection="1">
      <alignment horizontal="center" vertical="top" wrapText="1" shrinkToFit="1"/>
      <protection locked="0"/>
    </xf>
    <xf numFmtId="0" fontId="2" fillId="0" borderId="12" xfId="0" applyNumberFormat="1" applyFont="1" applyFill="1" applyBorder="1" applyAlignment="1" applyProtection="1">
      <alignment horizontal="center" vertical="top" wrapText="1" shrinkToFit="1" readingOrder="1"/>
      <protection locked="0"/>
    </xf>
    <xf numFmtId="0" fontId="2" fillId="0" borderId="28" xfId="52" applyNumberFormat="1" applyFont="1" applyFill="1" applyBorder="1" applyAlignment="1">
      <alignment horizontal="center" vertical="top" wrapText="1" readingOrder="1"/>
      <protection/>
    </xf>
    <xf numFmtId="0" fontId="2" fillId="0" borderId="28" xfId="0" applyNumberFormat="1" applyFont="1" applyFill="1" applyBorder="1" applyAlignment="1" applyProtection="1">
      <alignment horizontal="center" vertical="top" wrapText="1" readingOrder="1"/>
      <protection/>
    </xf>
    <xf numFmtId="0" fontId="2" fillId="0" borderId="12" xfId="0" applyNumberFormat="1" applyFont="1" applyFill="1" applyBorder="1" applyAlignment="1" applyProtection="1">
      <alignment horizontal="center" vertical="top" wrapText="1" shrinkToFit="1" readingOrder="1"/>
      <protection locked="0"/>
    </xf>
    <xf numFmtId="14" fontId="2" fillId="0" borderId="12" xfId="0" applyNumberFormat="1" applyFont="1" applyFill="1" applyBorder="1" applyAlignment="1" applyProtection="1">
      <alignment horizontal="center" vertical="top" wrapText="1" shrinkToFit="1" readingOrder="1"/>
      <protection locked="0"/>
    </xf>
    <xf numFmtId="0" fontId="4" fillId="0" borderId="16" xfId="0" applyNumberFormat="1" applyFont="1" applyFill="1" applyBorder="1" applyAlignment="1" applyProtection="1">
      <alignment horizontal="center" vertical="center" wrapText="1" shrinkToFit="1"/>
      <protection locked="0"/>
    </xf>
    <xf numFmtId="14" fontId="4" fillId="0" borderId="16" xfId="0" applyNumberFormat="1" applyFont="1" applyFill="1" applyBorder="1" applyAlignment="1" applyProtection="1">
      <alignment horizontal="center" vertical="center" wrapText="1" shrinkToFit="1"/>
      <protection locked="0"/>
    </xf>
    <xf numFmtId="14" fontId="2" fillId="0" borderId="16" xfId="0" applyNumberFormat="1" applyFont="1" applyFill="1" applyBorder="1" applyAlignment="1" applyProtection="1">
      <alignment horizontal="center" vertical="top" wrapText="1" shrinkToFit="1"/>
      <protection locked="0"/>
    </xf>
    <xf numFmtId="0" fontId="1" fillId="0" borderId="0" xfId="0" applyFont="1" applyFill="1" applyAlignment="1">
      <alignment/>
    </xf>
    <xf numFmtId="14" fontId="2" fillId="0" borderId="13" xfId="0" applyNumberFormat="1" applyFont="1" applyFill="1" applyBorder="1" applyAlignment="1" applyProtection="1">
      <alignment horizontal="center" vertical="top" wrapText="1" shrinkToFit="1"/>
      <protection locked="0"/>
    </xf>
    <xf numFmtId="0" fontId="2" fillId="0" borderId="13" xfId="0" applyNumberFormat="1" applyFont="1" applyFill="1" applyBorder="1" applyAlignment="1" applyProtection="1">
      <alignment vertical="top" wrapText="1" shrinkToFit="1"/>
      <protection locked="0"/>
    </xf>
    <xf numFmtId="14" fontId="2" fillId="0" borderId="13" xfId="0" applyNumberFormat="1" applyFont="1" applyFill="1" applyBorder="1" applyAlignment="1" applyProtection="1">
      <alignment vertical="top" wrapText="1" shrinkToFit="1"/>
      <protection locked="0"/>
    </xf>
    <xf numFmtId="0" fontId="3" fillId="0" borderId="12" xfId="52" applyNumberFormat="1" applyFont="1" applyFill="1" applyBorder="1" applyAlignment="1">
      <alignment horizontal="center" vertical="top" wrapText="1"/>
      <protection/>
    </xf>
    <xf numFmtId="14" fontId="2" fillId="0" borderId="28" xfId="0" applyNumberFormat="1" applyFont="1" applyFill="1" applyBorder="1" applyAlignment="1" applyProtection="1">
      <alignment horizontal="center" vertical="top" wrapText="1" shrinkToFit="1"/>
      <protection locked="0"/>
    </xf>
    <xf numFmtId="0" fontId="1" fillId="0" borderId="0" xfId="0" applyFont="1" applyFill="1" applyAlignment="1">
      <alignment horizontal="left"/>
    </xf>
    <xf numFmtId="0" fontId="3" fillId="0" borderId="12" xfId="0" applyNumberFormat="1" applyFont="1" applyFill="1" applyBorder="1" applyAlignment="1" applyProtection="1">
      <alignment vertical="center" wrapText="1" shrinkToFit="1"/>
      <protection locked="0"/>
    </xf>
    <xf numFmtId="49" fontId="0" fillId="0" borderId="0" xfId="0" applyNumberFormat="1" applyAlignment="1">
      <alignment/>
    </xf>
    <xf numFmtId="4" fontId="9" fillId="0" borderId="22" xfId="0" applyNumberFormat="1" applyFont="1" applyBorder="1" applyAlignment="1">
      <alignment/>
    </xf>
    <xf numFmtId="49" fontId="9" fillId="33" borderId="22" xfId="0" applyNumberFormat="1" applyFont="1" applyFill="1" applyBorder="1" applyAlignment="1">
      <alignment horizontal="center" vertical="center"/>
    </xf>
    <xf numFmtId="49" fontId="0" fillId="33" borderId="0" xfId="0" applyNumberFormat="1" applyFill="1" applyAlignment="1">
      <alignment horizontal="center" vertical="center"/>
    </xf>
    <xf numFmtId="49" fontId="9" fillId="33" borderId="22" xfId="0" applyNumberFormat="1" applyFont="1" applyFill="1" applyBorder="1" applyAlignment="1">
      <alignment horizontal="left" vertical="center"/>
    </xf>
    <xf numFmtId="49" fontId="9" fillId="33" borderId="22" xfId="0" applyNumberFormat="1" applyFont="1" applyFill="1" applyBorder="1" applyAlignment="1">
      <alignment horizontal="left"/>
    </xf>
    <xf numFmtId="49" fontId="0" fillId="33" borderId="0" xfId="0" applyNumberFormat="1" applyFill="1" applyAlignment="1">
      <alignment horizontal="left"/>
    </xf>
    <xf numFmtId="0" fontId="1" fillId="0" borderId="40" xfId="0" applyFont="1" applyFill="1" applyBorder="1" applyAlignment="1">
      <alignment horizontal="left"/>
    </xf>
    <xf numFmtId="0" fontId="8" fillId="0" borderId="0" xfId="0" applyFont="1" applyFill="1" applyAlignment="1">
      <alignment horizontal="left"/>
    </xf>
    <xf numFmtId="4" fontId="10" fillId="0" borderId="0" xfId="0" applyNumberFormat="1" applyFont="1" applyAlignment="1">
      <alignment/>
    </xf>
    <xf numFmtId="0" fontId="6" fillId="0" borderId="1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top" wrapText="1" shrinkToFit="1"/>
      <protection locked="0"/>
    </xf>
    <xf numFmtId="0" fontId="2" fillId="0" borderId="13" xfId="0" applyNumberFormat="1" applyFont="1" applyFill="1" applyBorder="1" applyAlignment="1" applyProtection="1">
      <alignment horizontal="center" vertical="center" wrapText="1" shrinkToFit="1"/>
      <protection locked="0"/>
    </xf>
    <xf numFmtId="0" fontId="3" fillId="0" borderId="18" xfId="52" applyNumberFormat="1" applyFont="1" applyFill="1" applyBorder="1" applyAlignment="1">
      <alignment horizontal="center" vertical="center" wrapText="1"/>
      <protection/>
    </xf>
    <xf numFmtId="0" fontId="3" fillId="0" borderId="28" xfId="0" applyNumberFormat="1" applyFont="1" applyFill="1" applyBorder="1" applyAlignment="1" applyProtection="1">
      <alignment horizontal="center" vertical="center" wrapText="1" shrinkToFit="1"/>
      <protection locked="0"/>
    </xf>
    <xf numFmtId="14" fontId="3" fillId="0" borderId="28" xfId="0" applyNumberFormat="1" applyFont="1" applyFill="1" applyBorder="1" applyAlignment="1" applyProtection="1">
      <alignment horizontal="center" vertical="center" wrapText="1" shrinkToFit="1"/>
      <protection locked="0"/>
    </xf>
    <xf numFmtId="0" fontId="2" fillId="0" borderId="13" xfId="0" applyNumberFormat="1" applyFont="1" applyFill="1" applyBorder="1" applyAlignment="1" applyProtection="1">
      <alignment horizontal="center" vertical="top" wrapText="1" shrinkToFit="1" readingOrder="1"/>
      <protection locked="0"/>
    </xf>
    <xf numFmtId="193" fontId="11" fillId="0" borderId="0" xfId="0" applyNumberFormat="1" applyFont="1" applyAlignment="1">
      <alignment/>
    </xf>
    <xf numFmtId="4" fontId="11" fillId="0" borderId="0" xfId="0" applyNumberFormat="1" applyFont="1" applyAlignment="1">
      <alignment/>
    </xf>
    <xf numFmtId="0" fontId="6" fillId="0" borderId="12" xfId="0" applyNumberFormat="1" applyFont="1" applyFill="1" applyBorder="1" applyAlignment="1" applyProtection="1">
      <alignment horizontal="center" vertical="center" wrapText="1" shrinkToFit="1"/>
      <protection locked="0"/>
    </xf>
    <xf numFmtId="0" fontId="6" fillId="0" borderId="41" xfId="0" applyNumberFormat="1" applyFont="1" applyFill="1" applyBorder="1" applyAlignment="1" applyProtection="1">
      <alignment horizontal="center" vertical="center" wrapText="1" shrinkToFit="1"/>
      <protection locked="0"/>
    </xf>
    <xf numFmtId="0" fontId="2" fillId="0" borderId="13" xfId="52" applyNumberFormat="1" applyFont="1" applyFill="1" applyBorder="1" applyAlignment="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8" xfId="52" applyNumberFormat="1" applyFont="1" applyFill="1" applyBorder="1" applyAlignment="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0" fillId="0" borderId="0" xfId="0" applyFont="1" applyAlignment="1">
      <alignment/>
    </xf>
    <xf numFmtId="0" fontId="3" fillId="0" borderId="41" xfId="0" applyNumberFormat="1" applyFont="1" applyFill="1" applyBorder="1" applyAlignment="1" applyProtection="1">
      <alignment horizontal="center" vertical="center" wrapText="1" shrinkToFit="1"/>
      <protection locked="0"/>
    </xf>
    <xf numFmtId="14" fontId="3" fillId="0" borderId="24" xfId="0" applyNumberFormat="1" applyFont="1" applyFill="1" applyBorder="1" applyAlignment="1" applyProtection="1">
      <alignment horizontal="center" vertical="center" wrapText="1" shrinkToFit="1"/>
      <protection locked="0"/>
    </xf>
    <xf numFmtId="4" fontId="9" fillId="0" borderId="22" xfId="0" applyNumberFormat="1" applyFont="1" applyFill="1" applyBorder="1" applyAlignment="1">
      <alignment/>
    </xf>
    <xf numFmtId="0" fontId="0" fillId="0" borderId="0" xfId="0" applyFill="1" applyAlignment="1">
      <alignment/>
    </xf>
    <xf numFmtId="0" fontId="3" fillId="0" borderId="10" xfId="0" applyFont="1" applyFill="1" applyBorder="1" applyAlignment="1" applyProtection="1">
      <alignment horizontal="center" vertical="top" wrapText="1" readingOrder="1"/>
      <protection locked="0"/>
    </xf>
    <xf numFmtId="0" fontId="3" fillId="0" borderId="15" xfId="0" applyFont="1" applyFill="1" applyBorder="1" applyAlignment="1" applyProtection="1">
      <alignment horizontal="center" vertical="top" wrapText="1" readingOrder="1"/>
      <protection locked="0"/>
    </xf>
    <xf numFmtId="0" fontId="3" fillId="0" borderId="12" xfId="0" applyFont="1" applyFill="1" applyBorder="1" applyAlignment="1" applyProtection="1">
      <alignment horizontal="center" vertical="center" wrapText="1" readingOrder="1"/>
      <protection locked="0"/>
    </xf>
    <xf numFmtId="0" fontId="3" fillId="0" borderId="34" xfId="0" applyFont="1" applyFill="1" applyBorder="1" applyAlignment="1" applyProtection="1">
      <alignment horizontal="center" vertical="top" wrapText="1" readingOrder="1"/>
      <protection locked="0"/>
    </xf>
    <xf numFmtId="0" fontId="3" fillId="0" borderId="28" xfId="0" applyFont="1" applyFill="1" applyBorder="1" applyAlignment="1" applyProtection="1">
      <alignment horizontal="center" vertical="top" wrapText="1" readingOrder="1"/>
      <protection locked="0"/>
    </xf>
    <xf numFmtId="0" fontId="4" fillId="0" borderId="13" xfId="0" applyFont="1" applyFill="1" applyBorder="1" applyAlignment="1" applyProtection="1">
      <alignment vertical="top" wrapText="1" readingOrder="1"/>
      <protection locked="0"/>
    </xf>
    <xf numFmtId="0" fontId="4" fillId="0" borderId="13" xfId="0" applyFont="1" applyFill="1" applyBorder="1" applyAlignment="1" applyProtection="1">
      <alignment horizontal="center" vertical="top" wrapText="1" readingOrder="1"/>
      <protection locked="0"/>
    </xf>
    <xf numFmtId="192" fontId="4" fillId="0" borderId="13" xfId="0" applyNumberFormat="1" applyFont="1" applyFill="1" applyBorder="1" applyAlignment="1" applyProtection="1">
      <alignment vertical="top" wrapText="1" readingOrder="1"/>
      <protection locked="0"/>
    </xf>
    <xf numFmtId="191" fontId="4" fillId="0" borderId="13" xfId="0" applyNumberFormat="1" applyFont="1" applyFill="1" applyBorder="1" applyAlignment="1" applyProtection="1">
      <alignment vertical="top" wrapText="1" readingOrder="1"/>
      <protection locked="0"/>
    </xf>
    <xf numFmtId="191" fontId="4" fillId="0" borderId="34" xfId="0" applyNumberFormat="1" applyFont="1" applyFill="1" applyBorder="1" applyAlignment="1" applyProtection="1">
      <alignment vertical="top" wrapText="1" readingOrder="1"/>
      <protection locked="0"/>
    </xf>
    <xf numFmtId="0" fontId="4" fillId="0" borderId="15" xfId="0" applyFont="1" applyFill="1" applyBorder="1" applyAlignment="1" applyProtection="1">
      <alignment vertical="top" wrapText="1" readingOrder="1"/>
      <protection locked="0"/>
    </xf>
    <xf numFmtId="0" fontId="4" fillId="0" borderId="15" xfId="0" applyFont="1" applyFill="1" applyBorder="1" applyAlignment="1" applyProtection="1">
      <alignment horizontal="left" vertical="top" wrapText="1" readingOrder="1"/>
      <protection locked="0"/>
    </xf>
    <xf numFmtId="0" fontId="4" fillId="0" borderId="15" xfId="0" applyFont="1" applyFill="1" applyBorder="1" applyAlignment="1" applyProtection="1">
      <alignment horizontal="center" vertical="top" wrapText="1" readingOrder="1"/>
      <protection locked="0"/>
    </xf>
    <xf numFmtId="191" fontId="4" fillId="0" borderId="15" xfId="0" applyNumberFormat="1" applyFont="1" applyFill="1" applyBorder="1" applyAlignment="1" applyProtection="1">
      <alignment vertical="top" wrapText="1" readingOrder="1"/>
      <protection locked="0"/>
    </xf>
    <xf numFmtId="0" fontId="5" fillId="0" borderId="15" xfId="0" applyFont="1" applyFill="1" applyBorder="1" applyAlignment="1" applyProtection="1">
      <alignment vertical="top" wrapText="1" readingOrder="1"/>
      <protection locked="0"/>
    </xf>
    <xf numFmtId="0" fontId="5" fillId="0" borderId="15" xfId="0" applyFont="1" applyFill="1" applyBorder="1" applyAlignment="1" applyProtection="1">
      <alignment horizontal="center" vertical="top" wrapText="1" readingOrder="1"/>
      <protection locked="0"/>
    </xf>
    <xf numFmtId="0" fontId="5" fillId="0" borderId="38" xfId="0" applyFont="1" applyFill="1" applyBorder="1" applyAlignment="1" applyProtection="1">
      <alignment horizontal="center" vertical="top" wrapText="1" readingOrder="1"/>
      <protection locked="0"/>
    </xf>
    <xf numFmtId="191" fontId="5" fillId="0" borderId="15" xfId="0" applyNumberFormat="1" applyFont="1" applyFill="1" applyBorder="1" applyAlignment="1" applyProtection="1">
      <alignment vertical="top" wrapText="1" readingOrder="1"/>
      <protection locked="0"/>
    </xf>
    <xf numFmtId="0" fontId="5" fillId="0" borderId="42" xfId="0" applyFont="1" applyFill="1" applyBorder="1" applyAlignment="1" applyProtection="1">
      <alignment horizontal="center" vertical="top" wrapText="1" readingOrder="1"/>
      <protection locked="0"/>
    </xf>
    <xf numFmtId="0" fontId="5" fillId="0" borderId="13" xfId="0" applyFont="1" applyFill="1" applyBorder="1" applyAlignment="1" applyProtection="1">
      <alignment horizontal="center" vertical="top" wrapText="1" readingOrder="1"/>
      <protection locked="0"/>
    </xf>
    <xf numFmtId="0" fontId="3" fillId="0" borderId="12" xfId="0" applyFont="1" applyFill="1" applyBorder="1" applyAlignment="1" applyProtection="1">
      <alignment vertical="top" wrapText="1" readingOrder="1"/>
      <protection locked="0"/>
    </xf>
    <xf numFmtId="0" fontId="3" fillId="0" borderId="41" xfId="0" applyFont="1" applyFill="1" applyBorder="1" applyAlignment="1" applyProtection="1">
      <alignment vertical="top" wrapText="1" readingOrder="1"/>
      <protection locked="0"/>
    </xf>
    <xf numFmtId="0" fontId="3" fillId="0" borderId="14" xfId="0" applyFont="1" applyFill="1" applyBorder="1" applyAlignment="1" applyProtection="1">
      <alignment horizontal="center" vertical="top" wrapText="1" readingOrder="1"/>
      <protection locked="0"/>
    </xf>
    <xf numFmtId="191" fontId="3" fillId="0" borderId="10" xfId="0" applyNumberFormat="1" applyFont="1" applyFill="1" applyBorder="1" applyAlignment="1" applyProtection="1">
      <alignment vertical="top" wrapText="1" readingOrder="1"/>
      <protection locked="0"/>
    </xf>
    <xf numFmtId="191" fontId="3" fillId="0" borderId="24" xfId="0" applyNumberFormat="1" applyFont="1" applyFill="1" applyBorder="1" applyAlignment="1" applyProtection="1">
      <alignment vertical="top" wrapText="1" readingOrder="1"/>
      <protection locked="0"/>
    </xf>
    <xf numFmtId="0" fontId="3" fillId="0" borderId="10" xfId="0" applyFont="1" applyFill="1" applyBorder="1" applyAlignment="1" applyProtection="1">
      <alignment horizontal="center" vertical="top" wrapText="1"/>
      <protection locked="0"/>
    </xf>
    <xf numFmtId="0" fontId="3" fillId="0" borderId="38" xfId="0" applyFont="1" applyFill="1" applyBorder="1" applyAlignment="1" applyProtection="1">
      <alignment horizontal="center" vertical="top" wrapText="1" readingOrder="1"/>
      <protection locked="0"/>
    </xf>
    <xf numFmtId="191" fontId="3" fillId="0" borderId="38" xfId="0" applyNumberFormat="1" applyFont="1" applyFill="1" applyBorder="1" applyAlignment="1" applyProtection="1">
      <alignment vertical="top" wrapText="1" readingOrder="1"/>
      <protection locked="0"/>
    </xf>
    <xf numFmtId="0" fontId="3" fillId="0" borderId="28" xfId="0" applyFont="1" applyFill="1" applyBorder="1" applyAlignment="1" applyProtection="1">
      <alignment vertical="top" wrapText="1" readingOrder="1"/>
      <protection locked="0"/>
    </xf>
    <xf numFmtId="0" fontId="3" fillId="0" borderId="42" xfId="0" applyFont="1" applyFill="1" applyBorder="1" applyAlignment="1" applyProtection="1">
      <alignment horizontal="center" vertical="top" wrapText="1" readingOrder="1"/>
      <protection locked="0"/>
    </xf>
    <xf numFmtId="0" fontId="3" fillId="0" borderId="13" xfId="0" applyFont="1" applyFill="1" applyBorder="1" applyAlignment="1" applyProtection="1">
      <alignment horizontal="center" vertical="top" wrapText="1" readingOrder="1"/>
      <protection locked="0"/>
    </xf>
    <xf numFmtId="0" fontId="4" fillId="0" borderId="41" xfId="0" applyFont="1" applyFill="1" applyBorder="1" applyAlignment="1" applyProtection="1">
      <alignment vertical="top" wrapText="1" readingOrder="1"/>
      <protection locked="0"/>
    </xf>
    <xf numFmtId="0" fontId="4" fillId="0" borderId="22" xfId="0" applyFont="1" applyFill="1" applyBorder="1" applyAlignment="1" applyProtection="1">
      <alignment horizontal="left" vertical="top" wrapText="1" readingOrder="1"/>
      <protection locked="0"/>
    </xf>
    <xf numFmtId="0" fontId="4" fillId="0" borderId="22"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top" wrapText="1" readingOrder="1"/>
      <protection locked="0"/>
    </xf>
    <xf numFmtId="191" fontId="4" fillId="0" borderId="42" xfId="0" applyNumberFormat="1" applyFont="1" applyFill="1" applyBorder="1" applyAlignment="1" applyProtection="1">
      <alignment vertical="top" wrapText="1" readingOrder="1"/>
      <protection locked="0"/>
    </xf>
    <xf numFmtId="0" fontId="3" fillId="0" borderId="13" xfId="0" applyFont="1" applyFill="1" applyBorder="1" applyAlignment="1" applyProtection="1">
      <alignment vertical="top" wrapText="1" readingOrder="1"/>
      <protection locked="0"/>
    </xf>
    <xf numFmtId="0" fontId="3" fillId="0" borderId="35" xfId="0" applyFont="1" applyFill="1" applyBorder="1" applyAlignment="1" applyProtection="1">
      <alignment horizontal="center" vertical="top" wrapText="1" readingOrder="1"/>
      <protection locked="0"/>
    </xf>
    <xf numFmtId="0" fontId="3" fillId="0" borderId="12" xfId="0" applyFont="1" applyFill="1" applyBorder="1" applyAlignment="1" applyProtection="1">
      <alignment horizontal="center" vertical="top" wrapText="1" readingOrder="1"/>
      <protection locked="0"/>
    </xf>
    <xf numFmtId="0" fontId="3" fillId="0" borderId="12" xfId="0" applyNumberFormat="1" applyFont="1" applyFill="1" applyBorder="1" applyAlignment="1" applyProtection="1">
      <alignment horizontal="center" vertical="top" wrapText="1" readingOrder="1"/>
      <protection locked="0"/>
    </xf>
    <xf numFmtId="191" fontId="3" fillId="0" borderId="12" xfId="0" applyNumberFormat="1" applyFont="1" applyFill="1" applyBorder="1" applyAlignment="1" applyProtection="1">
      <alignment vertical="top" wrapText="1" readingOrder="1"/>
      <protection locked="0"/>
    </xf>
    <xf numFmtId="0" fontId="3" fillId="0" borderId="10" xfId="0" applyFont="1" applyFill="1" applyBorder="1" applyAlignment="1" applyProtection="1">
      <alignment vertical="top" wrapText="1" readingOrder="1"/>
      <protection locked="0"/>
    </xf>
    <xf numFmtId="49" fontId="3" fillId="0" borderId="10" xfId="0" applyNumberFormat="1" applyFont="1" applyFill="1" applyBorder="1" applyAlignment="1" applyProtection="1">
      <alignment horizontal="center" vertical="top" wrapText="1" readingOrder="1"/>
      <protection locked="0"/>
    </xf>
    <xf numFmtId="0" fontId="3" fillId="0" borderId="11" xfId="0" applyFont="1" applyFill="1" applyBorder="1" applyAlignment="1" applyProtection="1">
      <alignment horizontal="center" vertical="top" wrapText="1" readingOrder="1"/>
      <protection locked="0"/>
    </xf>
    <xf numFmtId="0" fontId="4" fillId="0" borderId="12" xfId="0" applyFont="1" applyFill="1" applyBorder="1" applyAlignment="1" applyProtection="1">
      <alignment vertical="top" wrapText="1" readingOrder="1"/>
      <protection locked="0"/>
    </xf>
    <xf numFmtId="0" fontId="4" fillId="0" borderId="12" xfId="0" applyFont="1" applyFill="1" applyBorder="1" applyAlignment="1" applyProtection="1">
      <alignment horizontal="center" vertical="top" wrapText="1" readingOrder="1"/>
      <protection locked="0"/>
    </xf>
    <xf numFmtId="191" fontId="4" fillId="0" borderId="12" xfId="0" applyNumberFormat="1" applyFont="1" applyFill="1" applyBorder="1" applyAlignment="1" applyProtection="1">
      <alignment vertical="top" wrapText="1" readingOrder="1"/>
      <protection locked="0"/>
    </xf>
    <xf numFmtId="0" fontId="3" fillId="0" borderId="19" xfId="0" applyFont="1" applyFill="1" applyBorder="1" applyAlignment="1" applyProtection="1">
      <alignment horizontal="center" vertical="top" wrapText="1" readingOrder="1"/>
      <protection locked="0"/>
    </xf>
    <xf numFmtId="0" fontId="3" fillId="0" borderId="12" xfId="0" applyFont="1" applyFill="1" applyBorder="1" applyAlignment="1" applyProtection="1">
      <alignment horizontal="left" vertical="top" wrapText="1" readingOrder="1"/>
      <protection locked="0"/>
    </xf>
    <xf numFmtId="0" fontId="3" fillId="0" borderId="18" xfId="0" applyFont="1" applyFill="1" applyBorder="1" applyAlignment="1" applyProtection="1">
      <alignment horizontal="center" vertical="top" wrapText="1" readingOrder="1"/>
      <protection locked="0"/>
    </xf>
    <xf numFmtId="0" fontId="3" fillId="0" borderId="43" xfId="0" applyFont="1" applyFill="1" applyBorder="1" applyAlignment="1" applyProtection="1">
      <alignment horizontal="center" vertical="top" wrapText="1" readingOrder="1"/>
      <protection locked="0"/>
    </xf>
    <xf numFmtId="49" fontId="3" fillId="0" borderId="12" xfId="0" applyNumberFormat="1" applyFont="1" applyFill="1" applyBorder="1" applyAlignment="1" applyProtection="1">
      <alignment horizontal="center" vertical="top" wrapText="1" readingOrder="1"/>
      <protection locked="0"/>
    </xf>
    <xf numFmtId="0" fontId="3" fillId="0" borderId="28" xfId="0" applyFont="1" applyFill="1" applyBorder="1" applyAlignment="1" applyProtection="1">
      <alignment horizontal="left" vertical="top" wrapText="1" readingOrder="1"/>
      <protection locked="0"/>
    </xf>
    <xf numFmtId="191" fontId="3" fillId="0" borderId="28" xfId="0" applyNumberFormat="1" applyFont="1" applyFill="1" applyBorder="1" applyAlignment="1" applyProtection="1">
      <alignment vertical="top" wrapText="1" readingOrder="1"/>
      <protection locked="0"/>
    </xf>
    <xf numFmtId="0" fontId="4" fillId="0" borderId="12" xfId="0" applyFont="1" applyFill="1" applyBorder="1" applyAlignment="1" applyProtection="1">
      <alignment horizontal="left" vertical="top" wrapText="1" readingOrder="1"/>
      <protection locked="0"/>
    </xf>
    <xf numFmtId="49" fontId="4" fillId="0" borderId="12" xfId="0" applyNumberFormat="1"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center" vertical="top" wrapText="1" readingOrder="1"/>
      <protection locked="0"/>
    </xf>
    <xf numFmtId="0" fontId="4" fillId="0" borderId="43" xfId="0" applyFont="1" applyFill="1" applyBorder="1" applyAlignment="1" applyProtection="1">
      <alignment horizontal="center" vertical="top" wrapText="1" readingOrder="1"/>
      <protection locked="0"/>
    </xf>
    <xf numFmtId="49" fontId="3" fillId="0" borderId="12" xfId="0" applyNumberFormat="1" applyFont="1" applyFill="1" applyBorder="1" applyAlignment="1" applyProtection="1">
      <alignment vertical="top" wrapText="1" readingOrder="1"/>
      <protection locked="0"/>
    </xf>
    <xf numFmtId="14" fontId="3" fillId="0" borderId="12" xfId="0" applyNumberFormat="1" applyFont="1" applyFill="1" applyBorder="1" applyAlignment="1" applyProtection="1">
      <alignment vertical="top" wrapText="1" readingOrder="1"/>
      <protection locked="0"/>
    </xf>
    <xf numFmtId="0" fontId="4" fillId="0" borderId="43" xfId="0" applyFont="1" applyFill="1" applyBorder="1" applyAlignment="1" applyProtection="1">
      <alignment vertical="top" wrapText="1" readingOrder="1"/>
      <protection locked="0"/>
    </xf>
    <xf numFmtId="0" fontId="5" fillId="0" borderId="12" xfId="0" applyFont="1" applyFill="1" applyBorder="1" applyAlignment="1" applyProtection="1">
      <alignment horizontal="center" vertical="top" wrapText="1" readingOrder="1"/>
      <protection locked="0"/>
    </xf>
    <xf numFmtId="191" fontId="5" fillId="0" borderId="13" xfId="0" applyNumberFormat="1" applyFont="1" applyFill="1" applyBorder="1" applyAlignment="1" applyProtection="1">
      <alignment vertical="top" wrapText="1" readingOrder="1"/>
      <protection locked="0"/>
    </xf>
    <xf numFmtId="0" fontId="3" fillId="0" borderId="26" xfId="0" applyFont="1" applyFill="1" applyBorder="1" applyAlignment="1" applyProtection="1">
      <alignment horizontal="center" vertical="top" wrapText="1" readingOrder="1"/>
      <protection locked="0"/>
    </xf>
    <xf numFmtId="191" fontId="3" fillId="0" borderId="14" xfId="0" applyNumberFormat="1" applyFont="1" applyFill="1" applyBorder="1" applyAlignment="1" applyProtection="1">
      <alignment vertical="top" wrapText="1" readingOrder="1"/>
      <protection locked="0"/>
    </xf>
    <xf numFmtId="0" fontId="3" fillId="0" borderId="17" xfId="0" applyFont="1" applyFill="1" applyBorder="1" applyAlignment="1" applyProtection="1">
      <alignment horizontal="center" vertical="top" wrapText="1" readingOrder="1"/>
      <protection locked="0"/>
    </xf>
    <xf numFmtId="191" fontId="3" fillId="0" borderId="17" xfId="0" applyNumberFormat="1" applyFont="1" applyFill="1" applyBorder="1" applyAlignment="1" applyProtection="1">
      <alignment vertical="top" wrapText="1" readingOrder="1"/>
      <protection locked="0"/>
    </xf>
    <xf numFmtId="0" fontId="3" fillId="0" borderId="17" xfId="0" applyFont="1" applyFill="1" applyBorder="1" applyAlignment="1" applyProtection="1">
      <alignment vertical="top" wrapText="1" readingOrder="1"/>
      <protection locked="0"/>
    </xf>
    <xf numFmtId="0" fontId="3" fillId="0" borderId="26" xfId="0" applyFont="1" applyFill="1" applyBorder="1" applyAlignment="1" applyProtection="1">
      <alignment vertical="top" wrapText="1" readingOrder="1"/>
      <protection locked="0"/>
    </xf>
    <xf numFmtId="0" fontId="4" fillId="0" borderId="13" xfId="0" applyFont="1" applyFill="1" applyBorder="1" applyAlignment="1" applyProtection="1">
      <alignment horizontal="left" vertical="top" wrapText="1" readingOrder="1"/>
      <protection locked="0"/>
    </xf>
    <xf numFmtId="0" fontId="4" fillId="0" borderId="14" xfId="0" applyFont="1" applyFill="1" applyBorder="1" applyAlignment="1" applyProtection="1">
      <alignment horizontal="center" vertical="top" wrapText="1" readingOrder="1"/>
      <protection locked="0"/>
    </xf>
    <xf numFmtId="0" fontId="4" fillId="0" borderId="28" xfId="0" applyFont="1" applyFill="1" applyBorder="1" applyAlignment="1" applyProtection="1">
      <alignment horizontal="center" vertical="top" wrapText="1" readingOrder="1"/>
      <protection locked="0"/>
    </xf>
    <xf numFmtId="0" fontId="3" fillId="0" borderId="25" xfId="0" applyFont="1" applyFill="1" applyBorder="1" applyAlignment="1" applyProtection="1">
      <alignment horizontal="center" vertical="top" wrapText="1" readingOrder="1"/>
      <protection locked="0"/>
    </xf>
    <xf numFmtId="0" fontId="4" fillId="0" borderId="17" xfId="0" applyFont="1" applyFill="1" applyBorder="1" applyAlignment="1" applyProtection="1">
      <alignment horizontal="center" vertical="top" wrapText="1" readingOrder="1"/>
      <protection locked="0"/>
    </xf>
    <xf numFmtId="191" fontId="4" fillId="0" borderId="17" xfId="0" applyNumberFormat="1" applyFont="1" applyFill="1" applyBorder="1" applyAlignment="1" applyProtection="1">
      <alignment vertical="top" wrapText="1" readingOrder="1"/>
      <protection locked="0"/>
    </xf>
    <xf numFmtId="0" fontId="4" fillId="0" borderId="17" xfId="0" applyFont="1" applyFill="1" applyBorder="1" applyAlignment="1" applyProtection="1">
      <alignment vertical="top" wrapText="1" readingOrder="1"/>
      <protection locked="0"/>
    </xf>
    <xf numFmtId="0" fontId="4" fillId="0" borderId="26" xfId="0" applyFont="1" applyFill="1" applyBorder="1" applyAlignment="1" applyProtection="1">
      <alignment vertical="top" wrapText="1" readingOrder="1"/>
      <protection locked="0"/>
    </xf>
    <xf numFmtId="0" fontId="4" fillId="0" borderId="22" xfId="0" applyFont="1" applyFill="1" applyBorder="1" applyAlignment="1" applyProtection="1">
      <alignment vertical="top" wrapText="1" readingOrder="1"/>
      <protection locked="0"/>
    </xf>
    <xf numFmtId="49" fontId="4" fillId="0" borderId="13" xfId="0" applyNumberFormat="1" applyFont="1" applyFill="1" applyBorder="1" applyAlignment="1" applyProtection="1">
      <alignment horizontal="center" vertical="top" wrapText="1" readingOrder="1"/>
      <protection locked="0"/>
    </xf>
    <xf numFmtId="0" fontId="3" fillId="0" borderId="16" xfId="0" applyFont="1" applyFill="1" applyBorder="1" applyAlignment="1" applyProtection="1">
      <alignment horizontal="center" vertical="top" wrapText="1" readingOrder="1"/>
      <protection locked="0"/>
    </xf>
    <xf numFmtId="49" fontId="3" fillId="0" borderId="16" xfId="0" applyNumberFormat="1" applyFont="1" applyFill="1" applyBorder="1" applyAlignment="1" applyProtection="1">
      <alignment horizontal="center" vertical="top" wrapText="1" readingOrder="1"/>
      <protection locked="0"/>
    </xf>
    <xf numFmtId="191" fontId="3" fillId="0" borderId="16" xfId="0" applyNumberFormat="1" applyFont="1" applyFill="1" applyBorder="1" applyAlignment="1" applyProtection="1">
      <alignment vertical="top" wrapText="1" readingOrder="1"/>
      <protection locked="0"/>
    </xf>
    <xf numFmtId="0" fontId="3" fillId="0" borderId="10" xfId="0" applyFont="1" applyFill="1" applyBorder="1" applyAlignment="1" applyProtection="1">
      <alignment horizontal="left" vertical="top" wrapText="1" readingOrder="1"/>
      <protection locked="0"/>
    </xf>
    <xf numFmtId="0" fontId="3" fillId="0" borderId="10" xfId="0" applyNumberFormat="1" applyFont="1" applyFill="1" applyBorder="1" applyAlignment="1" applyProtection="1">
      <alignment horizontal="center" vertical="top" textRotation="90" wrapText="1" shrinkToFit="1"/>
      <protection locked="0"/>
    </xf>
    <xf numFmtId="191" fontId="3" fillId="0" borderId="11" xfId="0" applyNumberFormat="1" applyFont="1" applyFill="1" applyBorder="1" applyAlignment="1" applyProtection="1">
      <alignment vertical="top" wrapText="1" readingOrder="1"/>
      <protection locked="0"/>
    </xf>
    <xf numFmtId="49" fontId="3" fillId="0" borderId="10" xfId="0" applyNumberFormat="1" applyFont="1" applyFill="1" applyBorder="1" applyAlignment="1" applyProtection="1">
      <alignment vertical="top" wrapText="1" readingOrder="1"/>
      <protection locked="0"/>
    </xf>
    <xf numFmtId="49" fontId="3" fillId="0" borderId="24" xfId="0" applyNumberFormat="1" applyFont="1" applyFill="1" applyBorder="1" applyAlignment="1" applyProtection="1">
      <alignment horizontal="center" vertical="top" wrapText="1" readingOrder="1"/>
      <protection locked="0"/>
    </xf>
    <xf numFmtId="49" fontId="3" fillId="0" borderId="26" xfId="0" applyNumberFormat="1" applyFont="1" applyFill="1" applyBorder="1" applyAlignment="1" applyProtection="1">
      <alignment horizontal="center" vertical="top" wrapText="1" readingOrder="1"/>
      <protection locked="0"/>
    </xf>
    <xf numFmtId="49" fontId="3" fillId="0" borderId="28" xfId="0" applyNumberFormat="1" applyFont="1" applyFill="1" applyBorder="1" applyAlignment="1" applyProtection="1">
      <alignment horizontal="center" vertical="top" wrapText="1" readingOrder="1"/>
      <protection locked="0"/>
    </xf>
    <xf numFmtId="49" fontId="3" fillId="0" borderId="14" xfId="0" applyNumberFormat="1" applyFont="1" applyFill="1" applyBorder="1" applyAlignment="1" applyProtection="1">
      <alignment horizontal="center" vertical="top" wrapText="1" readingOrder="1"/>
      <protection locked="0"/>
    </xf>
    <xf numFmtId="49" fontId="3" fillId="0" borderId="23" xfId="0" applyNumberFormat="1" applyFont="1" applyFill="1" applyBorder="1" applyAlignment="1" applyProtection="1">
      <alignment horizontal="center" vertical="top" wrapText="1" readingOrder="1"/>
      <protection locked="0"/>
    </xf>
    <xf numFmtId="49" fontId="3" fillId="0" borderId="17" xfId="0" applyNumberFormat="1" applyFont="1" applyFill="1" applyBorder="1" applyAlignment="1" applyProtection="1">
      <alignment horizontal="center" vertical="top" wrapText="1" readingOrder="1"/>
      <protection locked="0"/>
    </xf>
    <xf numFmtId="49" fontId="3" fillId="0" borderId="11" xfId="0" applyNumberFormat="1" applyFont="1" applyFill="1" applyBorder="1" applyAlignment="1" applyProtection="1">
      <alignment horizontal="center" vertical="top" wrapText="1" readingOrder="1"/>
      <protection locked="0"/>
    </xf>
    <xf numFmtId="49" fontId="3" fillId="0" borderId="44" xfId="0" applyNumberFormat="1" applyFont="1" applyFill="1" applyBorder="1" applyAlignment="1" applyProtection="1">
      <alignment horizontal="center" vertical="top" wrapText="1" readingOrder="1"/>
      <protection locked="0"/>
    </xf>
    <xf numFmtId="49" fontId="3" fillId="0" borderId="45" xfId="0" applyNumberFormat="1" applyFont="1" applyFill="1" applyBorder="1" applyAlignment="1" applyProtection="1">
      <alignment horizontal="center" vertical="top" wrapText="1" readingOrder="1"/>
      <protection locked="0"/>
    </xf>
    <xf numFmtId="49" fontId="3" fillId="0" borderId="43" xfId="0" applyNumberFormat="1" applyFont="1" applyFill="1" applyBorder="1" applyAlignment="1" applyProtection="1">
      <alignment horizontal="center" vertical="top" wrapText="1" readingOrder="1"/>
      <protection locked="0"/>
    </xf>
    <xf numFmtId="49" fontId="3" fillId="0" borderId="42" xfId="0" applyNumberFormat="1" applyFont="1" applyFill="1" applyBorder="1" applyAlignment="1" applyProtection="1">
      <alignment horizontal="center" vertical="top" wrapText="1" readingOrder="1"/>
      <protection locked="0"/>
    </xf>
    <xf numFmtId="49" fontId="3" fillId="0" borderId="13" xfId="0" applyNumberFormat="1" applyFont="1" applyFill="1" applyBorder="1" applyAlignment="1" applyProtection="1">
      <alignment horizontal="center" vertical="top" wrapText="1" readingOrder="1"/>
      <protection locked="0"/>
    </xf>
    <xf numFmtId="0" fontId="3" fillId="0" borderId="10" xfId="0" applyNumberFormat="1" applyFont="1" applyFill="1" applyBorder="1" applyAlignment="1" applyProtection="1">
      <alignment vertical="top" wrapText="1" shrinkToFit="1"/>
      <protection locked="0"/>
    </xf>
    <xf numFmtId="14" fontId="3" fillId="0" borderId="10" xfId="0" applyNumberFormat="1" applyFont="1" applyFill="1" applyBorder="1" applyAlignment="1" applyProtection="1">
      <alignment horizontal="center" vertical="top" wrapText="1" readingOrder="1"/>
      <protection locked="0"/>
    </xf>
    <xf numFmtId="49" fontId="4" fillId="0" borderId="10" xfId="0" applyNumberFormat="1" applyFont="1" applyFill="1" applyBorder="1" applyAlignment="1" applyProtection="1">
      <alignment horizontal="center" vertical="top" wrapText="1" readingOrder="1"/>
      <protection locked="0"/>
    </xf>
    <xf numFmtId="191" fontId="4" fillId="0" borderId="10" xfId="0" applyNumberFormat="1" applyFont="1" applyFill="1" applyBorder="1" applyAlignment="1" applyProtection="1">
      <alignment vertical="top" wrapText="1" readingOrder="1"/>
      <protection locked="0"/>
    </xf>
    <xf numFmtId="0" fontId="4" fillId="0" borderId="10" xfId="0" applyFont="1" applyFill="1" applyBorder="1" applyAlignment="1" applyProtection="1">
      <alignment vertical="top" wrapText="1" readingOrder="1"/>
      <protection locked="0"/>
    </xf>
    <xf numFmtId="0" fontId="4" fillId="0" borderId="46" xfId="0" applyFont="1" applyFill="1" applyBorder="1" applyAlignment="1" applyProtection="1">
      <alignment vertical="top" wrapText="1" readingOrder="1"/>
      <protection locked="0"/>
    </xf>
    <xf numFmtId="0" fontId="4" fillId="0" borderId="42" xfId="0" applyFont="1" applyFill="1" applyBorder="1" applyAlignment="1" applyProtection="1">
      <alignment horizontal="center" vertical="top" wrapText="1" readingOrder="1"/>
      <protection locked="0"/>
    </xf>
    <xf numFmtId="0" fontId="3" fillId="0" borderId="12" xfId="0" applyFont="1" applyFill="1" applyBorder="1" applyAlignment="1" applyProtection="1">
      <alignment vertical="top" wrapText="1"/>
      <protection locked="0"/>
    </xf>
    <xf numFmtId="0" fontId="3" fillId="0" borderId="47" xfId="0" applyFont="1" applyFill="1" applyBorder="1" applyAlignment="1" applyProtection="1">
      <alignment vertical="top" wrapText="1" readingOrder="1"/>
      <protection locked="0"/>
    </xf>
    <xf numFmtId="0" fontId="3" fillId="0" borderId="34" xfId="0" applyFont="1" applyFill="1" applyBorder="1" applyAlignment="1" applyProtection="1">
      <alignment vertical="top" wrapText="1" readingOrder="1"/>
      <protection locked="0"/>
    </xf>
    <xf numFmtId="0" fontId="5" fillId="0" borderId="13" xfId="0" applyFont="1" applyFill="1" applyBorder="1" applyAlignment="1" applyProtection="1">
      <alignment vertical="top" wrapText="1" readingOrder="1"/>
      <protection locked="0"/>
    </xf>
    <xf numFmtId="49" fontId="5" fillId="0" borderId="42" xfId="0" applyNumberFormat="1" applyFont="1" applyFill="1" applyBorder="1" applyAlignment="1" applyProtection="1">
      <alignment horizontal="center" vertical="top" wrapText="1" readingOrder="1"/>
      <protection locked="0"/>
    </xf>
    <xf numFmtId="49" fontId="5" fillId="0" borderId="13" xfId="0" applyNumberFormat="1" applyFont="1" applyFill="1" applyBorder="1" applyAlignment="1" applyProtection="1">
      <alignment horizontal="center" vertical="top" wrapText="1" readingOrder="1"/>
      <protection locked="0"/>
    </xf>
    <xf numFmtId="49" fontId="3" fillId="0" borderId="12" xfId="0" applyNumberFormat="1" applyFont="1" applyFill="1" applyBorder="1" applyAlignment="1" applyProtection="1">
      <alignment horizontal="right" vertical="top" wrapText="1" readingOrder="1"/>
      <protection locked="0"/>
    </xf>
    <xf numFmtId="0" fontId="3" fillId="0" borderId="23" xfId="0" applyFont="1" applyFill="1" applyBorder="1" applyAlignment="1" applyProtection="1">
      <alignment horizontal="center" vertical="top" wrapText="1" readingOrder="1"/>
      <protection locked="0"/>
    </xf>
    <xf numFmtId="0" fontId="3" fillId="0" borderId="24" xfId="0" applyFont="1" applyFill="1" applyBorder="1" applyAlignment="1" applyProtection="1">
      <alignment horizontal="center" vertical="top" wrapText="1" readingOrder="1"/>
      <protection locked="0"/>
    </xf>
    <xf numFmtId="193" fontId="4" fillId="0" borderId="13" xfId="0" applyNumberFormat="1" applyFont="1" applyFill="1" applyBorder="1" applyAlignment="1" applyProtection="1">
      <alignment vertical="top" wrapText="1" readingOrder="1"/>
      <protection locked="0"/>
    </xf>
    <xf numFmtId="0" fontId="5" fillId="0" borderId="22" xfId="0" applyFont="1" applyFill="1" applyBorder="1" applyAlignment="1" applyProtection="1">
      <alignment vertical="top" wrapText="1" readingOrder="1"/>
      <protection locked="0"/>
    </xf>
    <xf numFmtId="193" fontId="5" fillId="0" borderId="22" xfId="0" applyNumberFormat="1" applyFont="1" applyFill="1" applyBorder="1" applyAlignment="1" applyProtection="1">
      <alignment vertical="top" wrapText="1" readingOrder="1"/>
      <protection locked="0"/>
    </xf>
    <xf numFmtId="193" fontId="5" fillId="0" borderId="13" xfId="0" applyNumberFormat="1" applyFont="1" applyFill="1" applyBorder="1" applyAlignment="1" applyProtection="1">
      <alignment vertical="top" wrapText="1" readingOrder="1"/>
      <protection locked="0"/>
    </xf>
    <xf numFmtId="49" fontId="5" fillId="0" borderId="22" xfId="0" applyNumberFormat="1" applyFont="1" applyFill="1" applyBorder="1" applyAlignment="1" applyProtection="1">
      <alignment horizontal="center" vertical="top" wrapText="1" readingOrder="1"/>
      <protection locked="0"/>
    </xf>
    <xf numFmtId="193" fontId="3" fillId="0" borderId="16" xfId="0" applyNumberFormat="1" applyFont="1" applyFill="1" applyBorder="1" applyAlignment="1" applyProtection="1">
      <alignment vertical="top" wrapText="1" readingOrder="1"/>
      <protection locked="0"/>
    </xf>
    <xf numFmtId="0" fontId="3" fillId="0" borderId="41" xfId="0" applyFont="1" applyFill="1" applyBorder="1" applyAlignment="1" applyProtection="1">
      <alignment horizontal="center" vertical="top" wrapText="1" readingOrder="1"/>
      <protection locked="0"/>
    </xf>
    <xf numFmtId="193" fontId="3" fillId="0" borderId="10" xfId="0" applyNumberFormat="1" applyFont="1" applyFill="1" applyBorder="1" applyAlignment="1" applyProtection="1">
      <alignment vertical="top" wrapText="1" readingOrder="1"/>
      <protection locked="0"/>
    </xf>
    <xf numFmtId="193" fontId="3" fillId="0" borderId="24" xfId="0" applyNumberFormat="1" applyFont="1" applyFill="1" applyBorder="1" applyAlignment="1" applyProtection="1">
      <alignment vertical="top" wrapText="1" readingOrder="1"/>
      <protection locked="0"/>
    </xf>
    <xf numFmtId="193" fontId="3" fillId="0" borderId="17" xfId="0" applyNumberFormat="1" applyFont="1" applyFill="1" applyBorder="1" applyAlignment="1" applyProtection="1">
      <alignment vertical="top" wrapText="1" readingOrder="1"/>
      <protection locked="0"/>
    </xf>
    <xf numFmtId="193" fontId="3" fillId="0" borderId="26" xfId="0" applyNumberFormat="1" applyFont="1" applyFill="1" applyBorder="1" applyAlignment="1" applyProtection="1">
      <alignment vertical="top" wrapText="1" readingOrder="1"/>
      <protection locked="0"/>
    </xf>
    <xf numFmtId="193" fontId="3" fillId="0" borderId="13" xfId="0" applyNumberFormat="1" applyFont="1" applyFill="1" applyBorder="1" applyAlignment="1" applyProtection="1">
      <alignment vertical="top" wrapText="1" readingOrder="1"/>
      <protection locked="0"/>
    </xf>
    <xf numFmtId="193" fontId="3" fillId="0" borderId="34" xfId="0" applyNumberFormat="1" applyFont="1" applyFill="1" applyBorder="1" applyAlignment="1" applyProtection="1">
      <alignment vertical="top" wrapText="1" readingOrder="1"/>
      <protection locked="0"/>
    </xf>
    <xf numFmtId="193" fontId="3" fillId="0" borderId="42" xfId="0" applyNumberFormat="1" applyFont="1" applyFill="1" applyBorder="1" applyAlignment="1" applyProtection="1">
      <alignment vertical="top" wrapText="1" readingOrder="1"/>
      <protection locked="0"/>
    </xf>
    <xf numFmtId="193" fontId="4" fillId="0" borderId="15" xfId="0" applyNumberFormat="1" applyFont="1" applyFill="1" applyBorder="1" applyAlignment="1" applyProtection="1">
      <alignment vertical="top" wrapText="1" readingOrder="1"/>
      <protection locked="0"/>
    </xf>
    <xf numFmtId="0" fontId="4" fillId="0" borderId="10" xfId="0" applyFont="1" applyFill="1" applyBorder="1" applyAlignment="1" applyProtection="1">
      <alignment horizontal="center" vertical="top" wrapText="1" readingOrder="1"/>
      <protection locked="0"/>
    </xf>
    <xf numFmtId="191" fontId="4" fillId="0" borderId="24" xfId="0" applyNumberFormat="1" applyFont="1" applyFill="1" applyBorder="1" applyAlignment="1" applyProtection="1">
      <alignment vertical="top" wrapText="1" readingOrder="1"/>
      <protection locked="0"/>
    </xf>
    <xf numFmtId="49" fontId="3" fillId="0" borderId="28" xfId="0" applyNumberFormat="1" applyFont="1" applyFill="1" applyBorder="1" applyAlignment="1" applyProtection="1">
      <alignment vertical="top" wrapText="1" readingOrder="1"/>
      <protection locked="0"/>
    </xf>
    <xf numFmtId="0" fontId="3" fillId="0" borderId="28" xfId="0" applyFont="1" applyFill="1" applyBorder="1" applyAlignment="1" applyProtection="1">
      <alignment vertical="top" wrapText="1"/>
      <protection locked="0"/>
    </xf>
    <xf numFmtId="0" fontId="4" fillId="0" borderId="38" xfId="0" applyFont="1" applyFill="1" applyBorder="1" applyAlignment="1" applyProtection="1">
      <alignment horizontal="center" vertical="top" wrapText="1" readingOrder="1"/>
      <protection locked="0"/>
    </xf>
    <xf numFmtId="191" fontId="4" fillId="0" borderId="38" xfId="0" applyNumberFormat="1" applyFont="1" applyFill="1" applyBorder="1" applyAlignment="1" applyProtection="1">
      <alignment vertical="top" wrapText="1" readingOrder="1"/>
      <protection locked="0"/>
    </xf>
    <xf numFmtId="0" fontId="4" fillId="0" borderId="18" xfId="0" applyFont="1" applyFill="1" applyBorder="1" applyAlignment="1" applyProtection="1">
      <alignment vertical="top" wrapText="1" readingOrder="1"/>
      <protection locked="0"/>
    </xf>
    <xf numFmtId="0" fontId="4" fillId="0" borderId="25" xfId="0" applyFont="1" applyFill="1" applyBorder="1" applyAlignment="1" applyProtection="1">
      <alignment vertical="top" wrapText="1" readingOrder="1"/>
      <protection locked="0"/>
    </xf>
    <xf numFmtId="191" fontId="4" fillId="0" borderId="26" xfId="0" applyNumberFormat="1" applyFont="1" applyFill="1" applyBorder="1" applyAlignment="1" applyProtection="1">
      <alignment vertical="top" wrapText="1" readingOrder="1"/>
      <protection locked="0"/>
    </xf>
    <xf numFmtId="0" fontId="4" fillId="0" borderId="28" xfId="0" applyFont="1" applyFill="1" applyBorder="1" applyAlignment="1" applyProtection="1">
      <alignment vertical="top" wrapText="1" readingOrder="1"/>
      <protection locked="0"/>
    </xf>
    <xf numFmtId="191" fontId="4" fillId="0" borderId="28" xfId="0" applyNumberFormat="1" applyFont="1" applyFill="1" applyBorder="1" applyAlignment="1" applyProtection="1">
      <alignment vertical="top" wrapText="1" readingOrder="1"/>
      <protection locked="0"/>
    </xf>
    <xf numFmtId="0" fontId="4" fillId="0" borderId="34" xfId="0" applyFont="1" applyFill="1" applyBorder="1" applyAlignment="1" applyProtection="1">
      <alignment vertical="top" wrapText="1" readingOrder="1"/>
      <protection locked="0"/>
    </xf>
    <xf numFmtId="0" fontId="3" fillId="0" borderId="46" xfId="0" applyFont="1" applyFill="1" applyBorder="1" applyAlignment="1" applyProtection="1">
      <alignment vertical="top" wrapText="1" readingOrder="1"/>
      <protection locked="0"/>
    </xf>
    <xf numFmtId="0" fontId="3" fillId="0" borderId="42" xfId="0" applyFont="1" applyFill="1" applyBorder="1" applyAlignment="1" applyProtection="1">
      <alignment vertical="top" wrapText="1" readingOrder="1"/>
      <protection locked="0"/>
    </xf>
    <xf numFmtId="49" fontId="3" fillId="0" borderId="13" xfId="0" applyNumberFormat="1" applyFont="1" applyFill="1" applyBorder="1" applyAlignment="1" applyProtection="1">
      <alignment vertical="top" wrapText="1" readingOrder="1"/>
      <protection locked="0"/>
    </xf>
    <xf numFmtId="0" fontId="4" fillId="0" borderId="16" xfId="0" applyFont="1" applyFill="1" applyBorder="1" applyAlignment="1" applyProtection="1">
      <alignment vertical="top" wrapText="1" readingOrder="1"/>
      <protection locked="0"/>
    </xf>
    <xf numFmtId="0" fontId="4" fillId="0" borderId="16" xfId="0" applyFont="1" applyFill="1" applyBorder="1" applyAlignment="1" applyProtection="1">
      <alignment horizontal="center" vertical="top" wrapText="1" readingOrder="1"/>
      <protection locked="0"/>
    </xf>
    <xf numFmtId="191" fontId="4" fillId="0" borderId="16" xfId="0" applyNumberFormat="1" applyFont="1" applyFill="1" applyBorder="1" applyAlignment="1" applyProtection="1">
      <alignment vertical="top" wrapText="1" readingOrder="1"/>
      <protection locked="0"/>
    </xf>
    <xf numFmtId="191" fontId="4" fillId="0" borderId="22" xfId="0" applyNumberFormat="1" applyFont="1" applyFill="1" applyBorder="1" applyAlignment="1" applyProtection="1">
      <alignment vertical="top" wrapText="1" readingOrder="1"/>
      <protection locked="0"/>
    </xf>
    <xf numFmtId="0" fontId="3" fillId="0" borderId="22" xfId="0" applyFont="1" applyFill="1" applyBorder="1" applyAlignment="1" applyProtection="1">
      <alignment vertical="top" wrapText="1" readingOrder="1"/>
      <protection locked="0"/>
    </xf>
    <xf numFmtId="0" fontId="5" fillId="0" borderId="46" xfId="0" applyFont="1" applyFill="1" applyBorder="1" applyAlignment="1" applyProtection="1">
      <alignment vertical="top" wrapText="1" readingOrder="1"/>
      <protection locked="0"/>
    </xf>
    <xf numFmtId="49" fontId="3" fillId="0" borderId="22" xfId="0" applyNumberFormat="1" applyFont="1" applyFill="1" applyBorder="1" applyAlignment="1" applyProtection="1">
      <alignment vertical="top" wrapText="1" readingOrder="1"/>
      <protection locked="0"/>
    </xf>
    <xf numFmtId="0" fontId="3" fillId="0" borderId="22" xfId="0" applyFont="1" applyFill="1" applyBorder="1" applyAlignment="1" applyProtection="1">
      <alignment horizontal="center" vertical="top" wrapText="1" readingOrder="1"/>
      <protection locked="0"/>
    </xf>
    <xf numFmtId="49" fontId="3" fillId="0" borderId="22" xfId="0" applyNumberFormat="1" applyFont="1" applyFill="1" applyBorder="1" applyAlignment="1" applyProtection="1">
      <alignment horizontal="center" vertical="top" wrapText="1" readingOrder="1"/>
      <protection locked="0"/>
    </xf>
    <xf numFmtId="191" fontId="3" fillId="0" borderId="15" xfId="0" applyNumberFormat="1" applyFont="1" applyFill="1" applyBorder="1" applyAlignment="1" applyProtection="1">
      <alignment vertical="top" wrapText="1" readingOrder="1"/>
      <protection locked="0"/>
    </xf>
    <xf numFmtId="0" fontId="5" fillId="0" borderId="16" xfId="0" applyFont="1" applyFill="1" applyBorder="1" applyAlignment="1" applyProtection="1">
      <alignment vertical="top" wrapText="1" readingOrder="1"/>
      <protection locked="0"/>
    </xf>
    <xf numFmtId="49" fontId="5" fillId="0" borderId="16" xfId="0" applyNumberFormat="1" applyFont="1" applyFill="1" applyBorder="1" applyAlignment="1" applyProtection="1">
      <alignment horizontal="center" vertical="top" wrapText="1" readingOrder="1"/>
      <protection locked="0"/>
    </xf>
    <xf numFmtId="191" fontId="5" fillId="0" borderId="22" xfId="0" applyNumberFormat="1" applyFont="1" applyFill="1" applyBorder="1" applyAlignment="1" applyProtection="1">
      <alignment vertical="top" wrapText="1" readingOrder="1"/>
      <protection locked="0"/>
    </xf>
    <xf numFmtId="0" fontId="3" fillId="0" borderId="16" xfId="0" applyFont="1" applyFill="1" applyBorder="1" applyAlignment="1" applyProtection="1">
      <alignment vertical="top" wrapText="1" readingOrder="1"/>
      <protection locked="0"/>
    </xf>
    <xf numFmtId="49" fontId="3" fillId="0" borderId="16" xfId="0" applyNumberFormat="1" applyFont="1" applyFill="1" applyBorder="1" applyAlignment="1" applyProtection="1">
      <alignment vertical="top" wrapText="1" readingOrder="1"/>
      <protection locked="0"/>
    </xf>
    <xf numFmtId="49" fontId="4" fillId="0" borderId="16" xfId="0" applyNumberFormat="1" applyFont="1" applyFill="1" applyBorder="1" applyAlignment="1" applyProtection="1">
      <alignment vertical="top" wrapText="1" readingOrder="1"/>
      <protection locked="0"/>
    </xf>
    <xf numFmtId="49" fontId="4" fillId="0" borderId="16" xfId="0" applyNumberFormat="1"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vertical="top" wrapText="1" readingOrder="1"/>
      <protection locked="0"/>
    </xf>
    <xf numFmtId="0" fontId="4" fillId="0" borderId="11" xfId="0" applyFont="1" applyFill="1" applyBorder="1" applyAlignment="1" applyProtection="1">
      <alignment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191" fontId="4" fillId="0" borderId="11" xfId="0" applyNumberFormat="1" applyFont="1" applyFill="1" applyBorder="1" applyAlignment="1" applyProtection="1">
      <alignment vertical="top" wrapText="1" readingOrder="1"/>
      <protection locked="0"/>
    </xf>
    <xf numFmtId="49" fontId="4" fillId="0" borderId="22" xfId="0" applyNumberFormat="1" applyFont="1" applyFill="1" applyBorder="1" applyAlignment="1" applyProtection="1">
      <alignment horizontal="center" vertical="top" wrapText="1" readingOrder="1"/>
      <protection locked="0"/>
    </xf>
    <xf numFmtId="191" fontId="3" fillId="0" borderId="22" xfId="0" applyNumberFormat="1" applyFont="1" applyFill="1" applyBorder="1" applyAlignment="1" applyProtection="1">
      <alignment vertical="top" wrapText="1" readingOrder="1"/>
      <protection locked="0"/>
    </xf>
    <xf numFmtId="0" fontId="4" fillId="0" borderId="48" xfId="0" applyFont="1" applyFill="1" applyBorder="1" applyAlignment="1" applyProtection="1">
      <alignment vertical="top" wrapText="1" readingOrder="1"/>
      <protection locked="0"/>
    </xf>
    <xf numFmtId="49" fontId="3" fillId="0" borderId="11" xfId="0" applyNumberFormat="1" applyFont="1" applyFill="1" applyBorder="1" applyAlignment="1" applyProtection="1">
      <alignment vertical="top" wrapText="1" readingOrder="1"/>
      <protection locked="0"/>
    </xf>
    <xf numFmtId="0" fontId="3" fillId="0" borderId="11" xfId="0" applyFont="1" applyFill="1" applyBorder="1" applyAlignment="1" applyProtection="1">
      <alignment vertical="top" wrapText="1" readingOrder="1"/>
      <protection locked="0"/>
    </xf>
    <xf numFmtId="193" fontId="3" fillId="0" borderId="11" xfId="0" applyNumberFormat="1" applyFont="1" applyFill="1" applyBorder="1" applyAlignment="1" applyProtection="1">
      <alignment vertical="top" wrapText="1" readingOrder="1"/>
      <protection locked="0"/>
    </xf>
    <xf numFmtId="0" fontId="3" fillId="0" borderId="15" xfId="0" applyFont="1" applyFill="1" applyBorder="1" applyAlignment="1" applyProtection="1">
      <alignment vertical="top" wrapText="1" readingOrder="1"/>
      <protection locked="0"/>
    </xf>
    <xf numFmtId="49" fontId="3" fillId="0" borderId="15" xfId="0" applyNumberFormat="1" applyFont="1" applyFill="1" applyBorder="1" applyAlignment="1" applyProtection="1">
      <alignment vertical="top" wrapText="1" readingOrder="1"/>
      <protection locked="0"/>
    </xf>
    <xf numFmtId="49" fontId="4" fillId="0" borderId="15" xfId="0" applyNumberFormat="1" applyFont="1" applyFill="1" applyBorder="1" applyAlignment="1" applyProtection="1">
      <alignment vertical="top" wrapText="1" readingOrder="1"/>
      <protection locked="0"/>
    </xf>
    <xf numFmtId="49" fontId="5" fillId="0" borderId="15" xfId="0" applyNumberFormat="1" applyFont="1" applyFill="1" applyBorder="1" applyAlignment="1" applyProtection="1">
      <alignment vertical="top" wrapText="1" readingOrder="1"/>
      <protection locked="0"/>
    </xf>
    <xf numFmtId="0" fontId="5" fillId="0" borderId="28" xfId="0" applyFont="1" applyFill="1" applyBorder="1" applyAlignment="1" applyProtection="1">
      <alignment horizontal="center" vertical="top" wrapText="1" readingOrder="1"/>
      <protection locked="0"/>
    </xf>
    <xf numFmtId="193" fontId="3" fillId="0" borderId="15" xfId="0" applyNumberFormat="1" applyFont="1" applyFill="1" applyBorder="1" applyAlignment="1" applyProtection="1">
      <alignment vertical="top" wrapText="1" readingOrder="1"/>
      <protection locked="0"/>
    </xf>
    <xf numFmtId="193" fontId="3" fillId="0" borderId="22" xfId="0" applyNumberFormat="1" applyFont="1" applyFill="1" applyBorder="1" applyAlignment="1" applyProtection="1">
      <alignment vertical="top" wrapText="1" readingOrder="1"/>
      <protection locked="0"/>
    </xf>
    <xf numFmtId="191" fontId="5" fillId="0" borderId="42" xfId="0" applyNumberFormat="1" applyFont="1" applyFill="1" applyBorder="1" applyAlignment="1" applyProtection="1">
      <alignment vertical="top" wrapText="1" readingOrder="1"/>
      <protection locked="0"/>
    </xf>
    <xf numFmtId="49" fontId="4" fillId="0" borderId="12" xfId="0" applyNumberFormat="1" applyFont="1" applyFill="1" applyBorder="1" applyAlignment="1" applyProtection="1">
      <alignment horizontal="center" vertical="top" wrapText="1" readingOrder="1"/>
      <protection locked="0"/>
    </xf>
    <xf numFmtId="192" fontId="3" fillId="0" borderId="15" xfId="0" applyNumberFormat="1" applyFont="1" applyFill="1" applyBorder="1" applyAlignment="1" applyProtection="1">
      <alignment vertical="top" wrapText="1" readingOrder="1"/>
      <protection locked="0"/>
    </xf>
    <xf numFmtId="0" fontId="2" fillId="0" borderId="11" xfId="0" applyNumberFormat="1" applyFont="1" applyFill="1" applyBorder="1" applyAlignment="1" applyProtection="1">
      <alignment horizontal="center" vertical="top" wrapText="1" shrinkToFit="1"/>
      <protection locked="0"/>
    </xf>
    <xf numFmtId="0" fontId="3" fillId="0" borderId="22" xfId="0" applyFont="1" applyFill="1" applyBorder="1" applyAlignment="1" applyProtection="1">
      <alignment horizontal="center" vertical="center" wrapText="1" readingOrder="1"/>
      <protection locked="0"/>
    </xf>
    <xf numFmtId="0" fontId="3" fillId="0" borderId="22" xfId="0" applyFont="1" applyFill="1" applyBorder="1" applyAlignment="1" applyProtection="1">
      <alignment vertical="center" wrapText="1" readingOrder="1"/>
      <protection locked="0"/>
    </xf>
    <xf numFmtId="4" fontId="3" fillId="0" borderId="22" xfId="0" applyNumberFormat="1" applyFont="1" applyFill="1" applyBorder="1" applyAlignment="1" applyProtection="1">
      <alignment vertical="top" wrapText="1" readingOrder="1"/>
      <protection locked="0"/>
    </xf>
    <xf numFmtId="49" fontId="3" fillId="0" borderId="34" xfId="0" applyNumberFormat="1" applyFont="1" applyFill="1" applyBorder="1" applyAlignment="1" applyProtection="1">
      <alignment horizontal="center" vertical="top" wrapText="1" readingOrder="1"/>
      <protection locked="0"/>
    </xf>
    <xf numFmtId="49" fontId="3" fillId="0" borderId="15" xfId="0" applyNumberFormat="1" applyFont="1" applyFill="1" applyBorder="1" applyAlignment="1" applyProtection="1">
      <alignment horizontal="center" vertical="top" wrapText="1" readingOrder="1"/>
      <protection locked="0"/>
    </xf>
    <xf numFmtId="0" fontId="4" fillId="0" borderId="13" xfId="0" applyFont="1" applyFill="1" applyBorder="1" applyAlignment="1" applyProtection="1">
      <alignment horizontal="center" vertical="center" wrapText="1" readingOrder="1"/>
      <protection locked="0"/>
    </xf>
    <xf numFmtId="0" fontId="3" fillId="0" borderId="44" xfId="0" applyFont="1" applyFill="1" applyBorder="1" applyAlignment="1" applyProtection="1">
      <alignment vertical="top" wrapText="1" readingOrder="1"/>
      <protection locked="0"/>
    </xf>
    <xf numFmtId="0" fontId="2" fillId="0" borderId="0" xfId="0" applyNumberFormat="1" applyFont="1" applyFill="1" applyBorder="1" applyAlignment="1" applyProtection="1">
      <alignment horizontal="center" vertical="top" wrapText="1" shrinkToFit="1"/>
      <protection locked="0"/>
    </xf>
    <xf numFmtId="0" fontId="2" fillId="0" borderId="41" xfId="0" applyNumberFormat="1" applyFont="1" applyFill="1" applyBorder="1" applyAlignment="1" applyProtection="1">
      <alignment horizontal="center" vertical="center" wrapText="1" shrinkToFit="1"/>
      <protection locked="0"/>
    </xf>
    <xf numFmtId="191" fontId="5" fillId="0" borderId="16" xfId="0" applyNumberFormat="1" applyFont="1" applyFill="1" applyBorder="1" applyAlignment="1" applyProtection="1">
      <alignment vertical="top" wrapText="1" readingOrder="1"/>
      <protection locked="0"/>
    </xf>
    <xf numFmtId="204" fontId="4" fillId="0" borderId="12" xfId="0" applyNumberFormat="1" applyFont="1" applyFill="1" applyBorder="1" applyAlignment="1" applyProtection="1">
      <alignment vertical="top" wrapText="1" readingOrder="1"/>
      <protection locked="0"/>
    </xf>
    <xf numFmtId="0" fontId="2" fillId="0" borderId="28" xfId="0" applyNumberFormat="1" applyFont="1" applyFill="1" applyBorder="1" applyAlignment="1" applyProtection="1">
      <alignment horizontal="center" vertical="center" wrapText="1" shrinkToFit="1"/>
      <protection locked="0"/>
    </xf>
    <xf numFmtId="49" fontId="4" fillId="0" borderId="22" xfId="0" applyNumberFormat="1" applyFont="1" applyFill="1" applyBorder="1" applyAlignment="1" applyProtection="1">
      <alignment vertical="top" wrapText="1" readingOrder="1"/>
      <protection locked="0"/>
    </xf>
    <xf numFmtId="0" fontId="5" fillId="0" borderId="0" xfId="0" applyFont="1" applyFill="1" applyBorder="1" applyAlignment="1" applyProtection="1">
      <alignment vertical="top" wrapText="1" readingOrder="1"/>
      <protection locked="0"/>
    </xf>
    <xf numFmtId="0" fontId="5" fillId="0" borderId="22"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xf>
    <xf numFmtId="0" fontId="4" fillId="0" borderId="24" xfId="0" applyFont="1" applyFill="1" applyBorder="1" applyAlignment="1" applyProtection="1">
      <alignment vertical="top" wrapText="1" readingOrder="1"/>
      <protection locked="0"/>
    </xf>
    <xf numFmtId="0" fontId="3" fillId="0" borderId="24" xfId="0" applyFont="1" applyFill="1" applyBorder="1" applyAlignment="1" applyProtection="1">
      <alignment vertical="top" wrapText="1" readingOrder="1"/>
      <protection locked="0"/>
    </xf>
    <xf numFmtId="0" fontId="2" fillId="0" borderId="28" xfId="0" applyNumberFormat="1" applyFont="1" applyFill="1" applyBorder="1" applyAlignment="1" applyProtection="1">
      <alignment horizontal="center" vertical="top" wrapText="1"/>
      <protection/>
    </xf>
    <xf numFmtId="193" fontId="3" fillId="0" borderId="12" xfId="0" applyNumberFormat="1" applyFont="1" applyFill="1" applyBorder="1" applyAlignment="1" applyProtection="1">
      <alignment vertical="top" wrapText="1" readingOrder="1"/>
      <protection locked="0"/>
    </xf>
    <xf numFmtId="192" fontId="3" fillId="0" borderId="13" xfId="0" applyNumberFormat="1" applyFont="1" applyFill="1" applyBorder="1" applyAlignment="1" applyProtection="1">
      <alignment vertical="top" wrapText="1" readingOrder="1"/>
      <protection locked="0"/>
    </xf>
    <xf numFmtId="204" fontId="3" fillId="0" borderId="13" xfId="0" applyNumberFormat="1" applyFont="1" applyFill="1" applyBorder="1" applyAlignment="1" applyProtection="1">
      <alignment vertical="top" wrapText="1" readingOrder="1"/>
      <protection locked="0"/>
    </xf>
    <xf numFmtId="193" fontId="4" fillId="0" borderId="22" xfId="0" applyNumberFormat="1" applyFont="1" applyFill="1" applyBorder="1" applyAlignment="1" applyProtection="1">
      <alignment vertical="top" wrapText="1" readingOrder="1"/>
      <protection locked="0"/>
    </xf>
    <xf numFmtId="193" fontId="4" fillId="0" borderId="12" xfId="0" applyNumberFormat="1" applyFont="1" applyFill="1" applyBorder="1" applyAlignment="1" applyProtection="1">
      <alignment vertical="top" wrapText="1" readingOrder="1"/>
      <protection locked="0"/>
    </xf>
    <xf numFmtId="0" fontId="3" fillId="0" borderId="12" xfId="0" applyFont="1" applyFill="1" applyBorder="1" applyAlignment="1" applyProtection="1">
      <alignment horizontal="center" wrapText="1"/>
      <protection locked="0"/>
    </xf>
    <xf numFmtId="0" fontId="5" fillId="0" borderId="47" xfId="0" applyNumberFormat="1"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center" vertical="top" wrapText="1" readingOrder="1"/>
      <protection locked="0"/>
    </xf>
    <xf numFmtId="0" fontId="5" fillId="0" borderId="13" xfId="52" applyNumberFormat="1" applyFont="1" applyFill="1" applyBorder="1" applyAlignment="1">
      <alignment horizontal="center" vertical="center" wrapText="1"/>
      <protection/>
    </xf>
    <xf numFmtId="0" fontId="5" fillId="0" borderId="13" xfId="0" applyNumberFormat="1" applyFont="1" applyFill="1" applyBorder="1" applyAlignment="1" applyProtection="1">
      <alignment horizontal="center" vertical="center" wrapText="1" shrinkToFit="1"/>
      <protection locked="0"/>
    </xf>
    <xf numFmtId="0" fontId="5" fillId="0" borderId="46" xfId="0" applyNumberFormat="1" applyFont="1" applyFill="1" applyBorder="1" applyAlignment="1" applyProtection="1">
      <alignment horizontal="center" vertical="center" wrapText="1" shrinkToFit="1"/>
      <protection locked="0"/>
    </xf>
    <xf numFmtId="0" fontId="5" fillId="0" borderId="16" xfId="0" applyFont="1" applyFill="1" applyBorder="1" applyAlignment="1" applyProtection="1">
      <alignment horizontal="center" vertical="top" wrapText="1" readingOrder="1"/>
      <protection locked="0"/>
    </xf>
    <xf numFmtId="0" fontId="5" fillId="0" borderId="28" xfId="0" applyFont="1" applyFill="1" applyBorder="1" applyAlignment="1" applyProtection="1">
      <alignment vertical="top" wrapText="1" readingOrder="1"/>
      <protection locked="0"/>
    </xf>
    <xf numFmtId="0" fontId="5" fillId="0" borderId="28" xfId="52" applyNumberFormat="1" applyFont="1" applyFill="1" applyBorder="1" applyAlignment="1">
      <alignment horizontal="center" vertical="center" wrapText="1"/>
      <protection/>
    </xf>
    <xf numFmtId="0" fontId="5" fillId="0" borderId="28" xfId="0" applyNumberFormat="1" applyFont="1" applyFill="1" applyBorder="1" applyAlignment="1" applyProtection="1">
      <alignment horizontal="center" vertical="center" wrapText="1" shrinkToFit="1"/>
      <protection locked="0"/>
    </xf>
    <xf numFmtId="191" fontId="5" fillId="0" borderId="28" xfId="0" applyNumberFormat="1" applyFont="1" applyFill="1" applyBorder="1" applyAlignment="1" applyProtection="1">
      <alignment vertical="top" wrapText="1" readingOrder="1"/>
      <protection locked="0"/>
    </xf>
    <xf numFmtId="0" fontId="5" fillId="0" borderId="22" xfId="52" applyNumberFormat="1" applyFont="1" applyFill="1" applyBorder="1" applyAlignment="1">
      <alignment horizontal="center" vertical="center" wrapText="1"/>
      <protection/>
    </xf>
    <xf numFmtId="192" fontId="5" fillId="0" borderId="13" xfId="0" applyNumberFormat="1" applyFont="1" applyFill="1" applyBorder="1" applyAlignment="1" applyProtection="1">
      <alignment vertical="top" wrapText="1" readingOrder="1"/>
      <protection locked="0"/>
    </xf>
    <xf numFmtId="193" fontId="3" fillId="0" borderId="44" xfId="0" applyNumberFormat="1" applyFont="1" applyFill="1" applyBorder="1" applyAlignment="1" applyProtection="1">
      <alignment vertical="top" wrapText="1" readingOrder="1"/>
      <protection locked="0"/>
    </xf>
    <xf numFmtId="193" fontId="3" fillId="0" borderId="28" xfId="0" applyNumberFormat="1" applyFont="1" applyFill="1" applyBorder="1" applyAlignment="1" applyProtection="1">
      <alignment vertical="top" wrapText="1" readingOrder="1"/>
      <protection locked="0"/>
    </xf>
    <xf numFmtId="193" fontId="3" fillId="0" borderId="14" xfId="0" applyNumberFormat="1" applyFont="1" applyFill="1" applyBorder="1" applyAlignment="1" applyProtection="1">
      <alignment vertical="top" wrapText="1" readingOrder="1"/>
      <protection locked="0"/>
    </xf>
    <xf numFmtId="192" fontId="3" fillId="0" borderId="12" xfId="0" applyNumberFormat="1" applyFont="1" applyFill="1" applyBorder="1" applyAlignment="1" applyProtection="1">
      <alignment vertical="top" wrapText="1" readingOrder="1"/>
      <protection locked="0"/>
    </xf>
    <xf numFmtId="192" fontId="3" fillId="0" borderId="28" xfId="0" applyNumberFormat="1" applyFont="1" applyFill="1" applyBorder="1" applyAlignment="1" applyProtection="1">
      <alignment vertical="top" wrapText="1" readingOrder="1"/>
      <protection locked="0"/>
    </xf>
    <xf numFmtId="0" fontId="2" fillId="0" borderId="28" xfId="0" applyNumberFormat="1" applyFont="1" applyFill="1" applyBorder="1" applyAlignment="1" applyProtection="1">
      <alignment vertical="top" wrapText="1"/>
      <protection/>
    </xf>
    <xf numFmtId="14" fontId="2" fillId="0" borderId="12" xfId="0" applyNumberFormat="1" applyFont="1" applyFill="1" applyBorder="1" applyAlignment="1" applyProtection="1">
      <alignment horizontal="center" vertical="top" wrapText="1" shrinkToFit="1"/>
      <protection locked="0"/>
    </xf>
    <xf numFmtId="0" fontId="2" fillId="0" borderId="21" xfId="0" applyNumberFormat="1" applyFont="1" applyFill="1" applyBorder="1" applyAlignment="1" applyProtection="1">
      <alignment horizontal="center" vertical="top" wrapText="1" shrinkToFit="1"/>
      <protection locked="0"/>
    </xf>
    <xf numFmtId="0" fontId="2" fillId="0" borderId="27" xfId="0" applyNumberFormat="1" applyFont="1" applyFill="1" applyBorder="1" applyAlignment="1" applyProtection="1">
      <alignment horizontal="center" vertical="top" wrapText="1" shrinkToFit="1"/>
      <protection locked="0"/>
    </xf>
    <xf numFmtId="0" fontId="2" fillId="0" borderId="22" xfId="0" applyNumberFormat="1" applyFont="1" applyFill="1" applyBorder="1" applyAlignment="1" applyProtection="1">
      <alignment horizontal="center" vertical="top" wrapText="1"/>
      <protection/>
    </xf>
    <xf numFmtId="0" fontId="3" fillId="0" borderId="20" xfId="0" applyFont="1" applyFill="1" applyBorder="1" applyAlignment="1" applyProtection="1">
      <alignment vertical="top" wrapText="1" readingOrder="1"/>
      <protection locked="0"/>
    </xf>
    <xf numFmtId="49" fontId="9" fillId="0" borderId="22" xfId="0" applyNumberFormat="1" applyFont="1" applyFill="1" applyBorder="1" applyAlignment="1">
      <alignment horizontal="left" vertical="center"/>
    </xf>
    <xf numFmtId="49" fontId="9" fillId="0" borderId="22" xfId="0" applyNumberFormat="1" applyFont="1" applyFill="1" applyBorder="1" applyAlignment="1">
      <alignment horizontal="center" vertical="center"/>
    </xf>
    <xf numFmtId="49" fontId="0" fillId="0" borderId="0" xfId="0" applyNumberFormat="1" applyFill="1" applyAlignment="1">
      <alignment horizontal="center" vertical="center"/>
    </xf>
    <xf numFmtId="49" fontId="9" fillId="0" borderId="22" xfId="0" applyNumberFormat="1" applyFont="1" applyFill="1" applyBorder="1" applyAlignment="1">
      <alignment horizontal="left"/>
    </xf>
    <xf numFmtId="0" fontId="0" fillId="0" borderId="0" xfId="0" applyFont="1" applyFill="1" applyAlignment="1">
      <alignment/>
    </xf>
    <xf numFmtId="49" fontId="0" fillId="0" borderId="0" xfId="0" applyNumberFormat="1" applyFill="1" applyAlignment="1">
      <alignment horizontal="left"/>
    </xf>
    <xf numFmtId="49" fontId="0" fillId="0" borderId="0" xfId="0" applyNumberFormat="1" applyFill="1" applyAlignment="1">
      <alignment/>
    </xf>
    <xf numFmtId="193" fontId="11" fillId="0" borderId="0" xfId="0" applyNumberFormat="1" applyFont="1" applyFill="1" applyAlignment="1">
      <alignment/>
    </xf>
    <xf numFmtId="4" fontId="11" fillId="0" borderId="0" xfId="0" applyNumberFormat="1" applyFont="1" applyFill="1" applyAlignment="1">
      <alignment/>
    </xf>
    <xf numFmtId="4" fontId="10" fillId="0" borderId="0" xfId="0" applyNumberFormat="1" applyFont="1" applyFill="1" applyAlignment="1">
      <alignment/>
    </xf>
    <xf numFmtId="0" fontId="3" fillId="0" borderId="39" xfId="0" applyFont="1" applyFill="1" applyBorder="1" applyAlignment="1" applyProtection="1">
      <alignment vertical="top" wrapText="1"/>
      <protection locked="0"/>
    </xf>
    <xf numFmtId="191" fontId="3" fillId="0" borderId="23" xfId="0" applyNumberFormat="1" applyFont="1" applyFill="1" applyBorder="1" applyAlignment="1" applyProtection="1">
      <alignment vertical="top" wrapText="1" readingOrder="1"/>
      <protection locked="0"/>
    </xf>
    <xf numFmtId="193" fontId="3" fillId="0" borderId="45" xfId="0" applyNumberFormat="1" applyFont="1" applyFill="1" applyBorder="1" applyAlignment="1" applyProtection="1">
      <alignment vertical="top" wrapText="1" readingOrder="1"/>
      <protection locked="0"/>
    </xf>
    <xf numFmtId="193" fontId="3" fillId="0" borderId="48" xfId="0" applyNumberFormat="1" applyFont="1" applyFill="1" applyBorder="1" applyAlignment="1" applyProtection="1">
      <alignment vertical="top" wrapText="1" readingOrder="1"/>
      <protection locked="0"/>
    </xf>
    <xf numFmtId="193" fontId="3" fillId="0" borderId="23" xfId="0" applyNumberFormat="1" applyFont="1" applyFill="1" applyBorder="1" applyAlignment="1" applyProtection="1">
      <alignment vertical="top" wrapText="1" readingOrder="1"/>
      <protection locked="0"/>
    </xf>
    <xf numFmtId="191" fontId="3" fillId="0" borderId="26" xfId="0" applyNumberFormat="1" applyFont="1" applyFill="1" applyBorder="1" applyAlignment="1" applyProtection="1">
      <alignment vertical="top" wrapText="1" readingOrder="1"/>
      <protection locked="0"/>
    </xf>
    <xf numFmtId="191" fontId="4" fillId="0" borderId="39" xfId="0" applyNumberFormat="1" applyFont="1" applyFill="1" applyBorder="1" applyAlignment="1" applyProtection="1">
      <alignment vertical="top" wrapText="1" readingOrder="1"/>
      <protection locked="0"/>
    </xf>
    <xf numFmtId="204" fontId="3" fillId="0" borderId="16" xfId="0" applyNumberFormat="1" applyFont="1" applyFill="1" applyBorder="1" applyAlignment="1" applyProtection="1">
      <alignment vertical="top" wrapText="1" readingOrder="1"/>
      <protection locked="0"/>
    </xf>
    <xf numFmtId="193" fontId="4" fillId="0" borderId="43" xfId="0" applyNumberFormat="1" applyFont="1" applyFill="1" applyBorder="1" applyAlignment="1" applyProtection="1">
      <alignment vertical="top" wrapText="1" readingOrder="1"/>
      <protection locked="0"/>
    </xf>
    <xf numFmtId="0" fontId="3" fillId="0" borderId="0" xfId="0" applyFont="1" applyFill="1" applyAlignment="1">
      <alignment/>
    </xf>
    <xf numFmtId="49" fontId="4" fillId="0" borderId="28" xfId="0" applyNumberFormat="1" applyFont="1" applyFill="1" applyBorder="1" applyAlignment="1" applyProtection="1">
      <alignment horizontal="center" vertical="top" wrapText="1" readingOrder="1"/>
      <protection locked="0"/>
    </xf>
    <xf numFmtId="0" fontId="3" fillId="0" borderId="16" xfId="0" applyFont="1" applyFill="1" applyBorder="1" applyAlignment="1" applyProtection="1">
      <alignment horizontal="left" vertical="top" wrapText="1" readingOrder="1"/>
      <protection locked="0"/>
    </xf>
    <xf numFmtId="191" fontId="3" fillId="0" borderId="42" xfId="0" applyNumberFormat="1" applyFont="1" applyFill="1" applyBorder="1" applyAlignment="1" applyProtection="1">
      <alignment vertical="top" wrapText="1" readingOrder="1"/>
      <protection locked="0"/>
    </xf>
    <xf numFmtId="14" fontId="2" fillId="0" borderId="28" xfId="0" applyNumberFormat="1" applyFont="1" applyFill="1" applyBorder="1" applyAlignment="1" applyProtection="1">
      <alignment horizontal="center" vertical="center" wrapText="1" shrinkToFit="1"/>
      <protection locked="0"/>
    </xf>
    <xf numFmtId="0" fontId="3" fillId="0" borderId="29" xfId="0" applyNumberFormat="1" applyFont="1" applyFill="1" applyBorder="1" applyAlignment="1" applyProtection="1">
      <alignment horizontal="center" vertical="center" wrapText="1" shrinkToFit="1"/>
      <protection locked="0"/>
    </xf>
    <xf numFmtId="0" fontId="3" fillId="0" borderId="13" xfId="52" applyNumberFormat="1" applyFont="1" applyFill="1" applyBorder="1" applyAlignment="1">
      <alignment horizontal="center" vertical="top" wrapText="1"/>
      <protection/>
    </xf>
    <xf numFmtId="0" fontId="3" fillId="0" borderId="13" xfId="0" applyNumberFormat="1" applyFont="1" applyFill="1" applyBorder="1" applyAlignment="1" applyProtection="1">
      <alignment horizontal="center" vertical="top" wrapText="1" shrinkToFit="1"/>
      <protection locked="0"/>
    </xf>
    <xf numFmtId="193" fontId="4" fillId="0" borderId="0" xfId="0" applyNumberFormat="1" applyFont="1" applyFill="1" applyBorder="1" applyAlignment="1" applyProtection="1">
      <alignment vertical="top" wrapText="1" readingOrder="1"/>
      <protection locked="0"/>
    </xf>
    <xf numFmtId="0" fontId="2" fillId="0" borderId="10" xfId="52" applyNumberFormat="1" applyFont="1" applyFill="1" applyBorder="1" applyAlignment="1">
      <alignment horizontal="center" vertical="center" wrapText="1"/>
      <protection/>
    </xf>
    <xf numFmtId="191" fontId="4" fillId="0" borderId="49" xfId="0" applyNumberFormat="1" applyFont="1" applyFill="1" applyBorder="1" applyAlignment="1" applyProtection="1">
      <alignment vertical="top" wrapText="1" readingOrder="1"/>
      <protection locked="0"/>
    </xf>
    <xf numFmtId="0" fontId="3" fillId="0" borderId="11" xfId="0" applyFont="1" applyFill="1" applyBorder="1" applyAlignment="1" applyProtection="1">
      <alignment horizontal="left" vertical="top" wrapText="1" readingOrder="1"/>
      <protection locked="0"/>
    </xf>
    <xf numFmtId="193" fontId="3" fillId="0" borderId="0" xfId="0" applyNumberFormat="1" applyFont="1" applyFill="1" applyBorder="1" applyAlignment="1" applyProtection="1">
      <alignment vertical="top" wrapText="1" readingOrder="1"/>
      <protection locked="0"/>
    </xf>
    <xf numFmtId="0" fontId="3" fillId="0" borderId="16" xfId="0" applyNumberFormat="1" applyFont="1" applyFill="1" applyBorder="1" applyAlignment="1" applyProtection="1">
      <alignment vertical="top" wrapText="1" shrinkToFit="1"/>
      <protection locked="0"/>
    </xf>
    <xf numFmtId="0" fontId="3" fillId="0" borderId="45" xfId="0" applyNumberFormat="1" applyFont="1" applyFill="1" applyBorder="1" applyAlignment="1" applyProtection="1">
      <alignment vertical="top" wrapText="1" shrinkToFit="1"/>
      <protection locked="0"/>
    </xf>
    <xf numFmtId="0" fontId="3" fillId="0" borderId="24" xfId="0" applyNumberFormat="1" applyFont="1" applyFill="1" applyBorder="1" applyAlignment="1" applyProtection="1">
      <alignment vertical="top" wrapText="1" shrinkToFit="1"/>
      <protection locked="0"/>
    </xf>
    <xf numFmtId="0" fontId="3" fillId="0" borderId="11" xfId="0" applyNumberFormat="1" applyFont="1" applyFill="1" applyBorder="1" applyAlignment="1" applyProtection="1">
      <alignment vertical="top" wrapText="1" shrinkToFit="1"/>
      <protection locked="0"/>
    </xf>
    <xf numFmtId="0" fontId="3" fillId="0" borderId="44" xfId="0" applyNumberFormat="1" applyFont="1" applyFill="1" applyBorder="1" applyAlignment="1" applyProtection="1">
      <alignment vertical="top" wrapText="1" shrinkToFit="1"/>
      <protection locked="0"/>
    </xf>
    <xf numFmtId="0" fontId="3" fillId="0" borderId="16" xfId="52" applyNumberFormat="1" applyFont="1" applyFill="1" applyBorder="1" applyAlignment="1">
      <alignment horizontal="center" vertical="top" wrapText="1"/>
      <protection/>
    </xf>
    <xf numFmtId="0" fontId="3" fillId="0" borderId="10" xfId="52" applyNumberFormat="1" applyFont="1" applyFill="1" applyBorder="1" applyAlignment="1">
      <alignment horizontal="center" vertical="center" wrapText="1"/>
      <protection/>
    </xf>
    <xf numFmtId="0" fontId="3" fillId="0" borderId="11" xfId="52" applyNumberFormat="1" applyFont="1" applyFill="1" applyBorder="1" applyAlignment="1">
      <alignment horizontal="center" vertical="center" wrapText="1"/>
      <protection/>
    </xf>
    <xf numFmtId="49" fontId="4" fillId="0" borderId="12" xfId="0" applyNumberFormat="1" applyFont="1" applyFill="1" applyBorder="1" applyAlignment="1" applyProtection="1">
      <alignment vertical="top" wrapText="1" readingOrder="1"/>
      <protection locked="0"/>
    </xf>
    <xf numFmtId="0" fontId="4" fillId="0" borderId="10" xfId="0" applyNumberFormat="1" applyFont="1" applyFill="1" applyBorder="1" applyAlignment="1" applyProtection="1">
      <alignment horizontal="center" vertical="center" wrapText="1" shrinkToFit="1"/>
      <protection locked="0"/>
    </xf>
    <xf numFmtId="14" fontId="4" fillId="0" borderId="10" xfId="0" applyNumberFormat="1" applyFont="1" applyFill="1" applyBorder="1" applyAlignment="1" applyProtection="1">
      <alignment horizontal="center" vertical="center" wrapText="1" shrinkToFit="1"/>
      <protection locked="0"/>
    </xf>
    <xf numFmtId="0" fontId="3" fillId="0" borderId="15" xfId="0" applyFont="1" applyFill="1" applyBorder="1" applyAlignment="1" applyProtection="1">
      <alignment horizontal="left" vertical="top" wrapText="1" readingOrder="1"/>
      <protection locked="0"/>
    </xf>
    <xf numFmtId="0" fontId="2" fillId="0" borderId="22" xfId="52" applyNumberFormat="1" applyFont="1" applyFill="1" applyBorder="1" applyAlignment="1">
      <alignment horizontal="center" vertical="top" wrapText="1"/>
      <protection/>
    </xf>
    <xf numFmtId="191" fontId="3" fillId="0" borderId="43" xfId="0" applyNumberFormat="1" applyFont="1" applyFill="1" applyBorder="1" applyAlignment="1" applyProtection="1">
      <alignment vertical="top" wrapText="1" readingOrder="1"/>
      <protection locked="0"/>
    </xf>
    <xf numFmtId="191" fontId="3" fillId="0" borderId="48" xfId="0" applyNumberFormat="1" applyFont="1" applyFill="1" applyBorder="1" applyAlignment="1" applyProtection="1">
      <alignment vertical="top" wrapText="1" readingOrder="1"/>
      <protection locked="0"/>
    </xf>
    <xf numFmtId="0" fontId="2" fillId="0" borderId="28" xfId="52" applyNumberFormat="1" applyFont="1" applyFill="1" applyBorder="1" applyAlignment="1">
      <alignment horizontal="center" vertical="top" wrapText="1"/>
      <protection/>
    </xf>
    <xf numFmtId="49" fontId="3" fillId="0" borderId="33" xfId="0" applyNumberFormat="1" applyFont="1" applyFill="1" applyBorder="1" applyAlignment="1" applyProtection="1">
      <alignment horizontal="center" vertical="top" wrapText="1" readingOrder="1"/>
      <protection locked="0"/>
    </xf>
    <xf numFmtId="49" fontId="3" fillId="0" borderId="50" xfId="0" applyNumberFormat="1" applyFont="1" applyFill="1" applyBorder="1" applyAlignment="1" applyProtection="1">
      <alignment horizontal="center" vertical="top" wrapText="1" readingOrder="1"/>
      <protection locked="0"/>
    </xf>
    <xf numFmtId="193" fontId="3" fillId="0" borderId="50" xfId="0" applyNumberFormat="1" applyFont="1" applyFill="1" applyBorder="1" applyAlignment="1" applyProtection="1">
      <alignment vertical="top" wrapText="1" readingOrder="1"/>
      <protection locked="0"/>
    </xf>
    <xf numFmtId="193" fontId="3" fillId="0" borderId="43" xfId="0" applyNumberFormat="1" applyFont="1" applyFill="1" applyBorder="1" applyAlignment="1" applyProtection="1">
      <alignment vertical="top" wrapText="1" readingOrder="1"/>
      <protection locked="0"/>
    </xf>
    <xf numFmtId="193" fontId="3" fillId="0" borderId="18" xfId="0" applyNumberFormat="1" applyFont="1" applyFill="1" applyBorder="1" applyAlignment="1" applyProtection="1">
      <alignment vertical="top" wrapText="1" readingOrder="1"/>
      <protection locked="0"/>
    </xf>
    <xf numFmtId="191" fontId="3" fillId="0" borderId="0" xfId="0" applyNumberFormat="1" applyFont="1" applyFill="1" applyBorder="1" applyAlignment="1" applyProtection="1">
      <alignment vertical="top" wrapText="1" readingOrder="1"/>
      <protection locked="0"/>
    </xf>
    <xf numFmtId="0" fontId="3" fillId="0" borderId="10" xfId="0" applyNumberFormat="1" applyFont="1" applyFill="1" applyBorder="1" applyAlignment="1" applyProtection="1">
      <alignment horizontal="center" vertical="top" wrapText="1" shrinkToFit="1"/>
      <protection locked="0"/>
    </xf>
    <xf numFmtId="14" fontId="3" fillId="0" borderId="10"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center" wrapText="1" shrinkToFit="1"/>
      <protection locked="0"/>
    </xf>
    <xf numFmtId="0" fontId="2" fillId="0" borderId="41" xfId="0" applyNumberFormat="1"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left" vertical="top" wrapText="1" readingOrder="1"/>
      <protection locked="0"/>
    </xf>
    <xf numFmtId="0" fontId="4" fillId="0" borderId="10" xfId="0" applyFont="1" applyFill="1" applyBorder="1" applyAlignment="1" applyProtection="1">
      <alignment horizontal="left" vertical="top" wrapText="1" readingOrder="1"/>
      <protection locked="0"/>
    </xf>
    <xf numFmtId="0" fontId="2" fillId="0" borderId="13" xfId="0" applyNumberFormat="1" applyFont="1" applyFill="1" applyBorder="1" applyAlignment="1" applyProtection="1">
      <alignment horizontal="center" vertical="center" wrapText="1" shrinkToFit="1"/>
      <protection locked="0"/>
    </xf>
    <xf numFmtId="0" fontId="2" fillId="0" borderId="28"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left" vertical="top" wrapText="1" readingOrder="1"/>
      <protection locked="0"/>
    </xf>
    <xf numFmtId="0" fontId="3" fillId="0" borderId="28" xfId="0" applyFont="1" applyFill="1" applyBorder="1" applyAlignment="1" applyProtection="1">
      <alignment horizontal="left" vertical="top" wrapText="1" readingOrder="1"/>
      <protection locked="0"/>
    </xf>
    <xf numFmtId="0" fontId="3" fillId="0" borderId="13" xfId="0" applyFont="1" applyFill="1" applyBorder="1" applyAlignment="1" applyProtection="1">
      <alignment horizontal="center" vertical="center" wrapText="1" readingOrder="1"/>
      <protection locked="0"/>
    </xf>
    <xf numFmtId="0" fontId="3" fillId="0" borderId="28" xfId="0" applyFont="1" applyFill="1" applyBorder="1" applyAlignment="1" applyProtection="1">
      <alignment horizontal="center" vertical="center" wrapText="1" readingOrder="1"/>
      <protection locked="0"/>
    </xf>
    <xf numFmtId="0" fontId="2" fillId="0" borderId="10"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horizontal="center" vertical="top" wrapText="1" shrinkToFit="1"/>
      <protection locked="0"/>
    </xf>
    <xf numFmtId="0" fontId="3" fillId="0" borderId="13" xfId="0" applyFont="1" applyFill="1" applyBorder="1" applyAlignment="1" applyProtection="1">
      <alignment horizontal="left" vertical="top" wrapText="1" readingOrder="1"/>
      <protection locked="0"/>
    </xf>
    <xf numFmtId="0" fontId="2" fillId="0" borderId="10" xfId="0" applyNumberFormat="1" applyFont="1" applyFill="1" applyBorder="1" applyAlignment="1" applyProtection="1">
      <alignment horizontal="center" vertical="top" wrapText="1" shrinkToFit="1"/>
      <protection locked="0"/>
    </xf>
    <xf numFmtId="0" fontId="2" fillId="0" borderId="12" xfId="0" applyNumberFormat="1" applyFont="1" applyFill="1" applyBorder="1" applyAlignment="1" applyProtection="1">
      <alignment horizontal="center" vertical="top" wrapText="1" shrinkToFit="1"/>
      <protection locked="0"/>
    </xf>
    <xf numFmtId="0" fontId="2" fillId="0" borderId="41" xfId="0" applyNumberFormat="1" applyFont="1" applyFill="1" applyBorder="1" applyAlignment="1" applyProtection="1">
      <alignment horizontal="center" vertical="top" wrapText="1" shrinkToFit="1"/>
      <protection locked="0"/>
    </xf>
    <xf numFmtId="0" fontId="3" fillId="0" borderId="10" xfId="0" applyFont="1" applyFill="1" applyBorder="1" applyAlignment="1" applyProtection="1">
      <alignment horizontal="center" vertical="top" wrapText="1" readingOrder="1"/>
      <protection locked="0"/>
    </xf>
    <xf numFmtId="0" fontId="3" fillId="0" borderId="13" xfId="0" applyFont="1" applyFill="1" applyBorder="1" applyAlignment="1" applyProtection="1">
      <alignment horizontal="right" vertical="center" wrapText="1" readingOrder="1"/>
      <protection locked="0"/>
    </xf>
    <xf numFmtId="0" fontId="3" fillId="0" borderId="28" xfId="0" applyFont="1" applyFill="1" applyBorder="1" applyAlignment="1" applyProtection="1">
      <alignment horizontal="right" vertical="center" wrapText="1" readingOrder="1"/>
      <protection locked="0"/>
    </xf>
    <xf numFmtId="4" fontId="3" fillId="0" borderId="13" xfId="0" applyNumberFormat="1" applyFont="1" applyFill="1" applyBorder="1" applyAlignment="1" applyProtection="1">
      <alignment horizontal="right" vertical="center" wrapText="1" readingOrder="1"/>
      <protection locked="0"/>
    </xf>
    <xf numFmtId="4" fontId="3" fillId="0" borderId="28" xfId="0" applyNumberFormat="1" applyFont="1" applyFill="1" applyBorder="1" applyAlignment="1" applyProtection="1">
      <alignment horizontal="right" vertical="center" wrapText="1" readingOrder="1"/>
      <protection locked="0"/>
    </xf>
    <xf numFmtId="0" fontId="0" fillId="0" borderId="28" xfId="0" applyFont="1" applyFill="1" applyBorder="1" applyAlignment="1">
      <alignment/>
    </xf>
    <xf numFmtId="0" fontId="3" fillId="0" borderId="13" xfId="0" applyFont="1" applyFill="1" applyBorder="1" applyAlignment="1" applyProtection="1">
      <alignment horizontal="center" vertical="top" wrapText="1" readingOrder="1"/>
      <protection locked="0"/>
    </xf>
    <xf numFmtId="0" fontId="3" fillId="0" borderId="12" xfId="0" applyFont="1" applyFill="1" applyBorder="1" applyAlignment="1" applyProtection="1">
      <alignment horizontal="center" vertical="top" wrapText="1" readingOrder="1"/>
      <protection locked="0"/>
    </xf>
    <xf numFmtId="0" fontId="3" fillId="0" borderId="28" xfId="0" applyFont="1" applyFill="1" applyBorder="1" applyAlignment="1" applyProtection="1">
      <alignment horizontal="center" vertical="top" wrapText="1" readingOrder="1"/>
      <protection locked="0"/>
    </xf>
    <xf numFmtId="49" fontId="3" fillId="0" borderId="13" xfId="0" applyNumberFormat="1" applyFont="1" applyFill="1" applyBorder="1" applyAlignment="1" applyProtection="1">
      <alignment horizontal="center" vertical="top" wrapText="1" readingOrder="1"/>
      <protection locked="0"/>
    </xf>
    <xf numFmtId="49" fontId="3" fillId="0" borderId="28" xfId="0" applyNumberFormat="1" applyFont="1" applyFill="1" applyBorder="1" applyAlignment="1" applyProtection="1">
      <alignment horizontal="center" vertical="top" wrapText="1" readingOrder="1"/>
      <protection locked="0"/>
    </xf>
    <xf numFmtId="0" fontId="3" fillId="0" borderId="16" xfId="0" applyFont="1" applyFill="1" applyBorder="1" applyAlignment="1" applyProtection="1">
      <alignment horizontal="left" vertical="top" wrapText="1" readingOrder="1"/>
      <protection locked="0"/>
    </xf>
    <xf numFmtId="0" fontId="3" fillId="0" borderId="11" xfId="0" applyFont="1" applyFill="1" applyBorder="1" applyAlignment="1" applyProtection="1">
      <alignment horizontal="left" vertical="top" wrapText="1" readingOrder="1"/>
      <protection locked="0"/>
    </xf>
    <xf numFmtId="0" fontId="3" fillId="0" borderId="19" xfId="0" applyFont="1" applyFill="1" applyBorder="1" applyAlignment="1" applyProtection="1">
      <alignment horizontal="center" vertical="top" wrapText="1" readingOrder="1"/>
      <protection locked="0"/>
    </xf>
    <xf numFmtId="0" fontId="3" fillId="0" borderId="25" xfId="0" applyFont="1" applyFill="1" applyBorder="1" applyAlignment="1" applyProtection="1">
      <alignment horizontal="center" vertical="top" wrapText="1" readingOrder="1"/>
      <protection locked="0"/>
    </xf>
    <xf numFmtId="0" fontId="2" fillId="0" borderId="36"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shrinkToFit="1"/>
      <protection locked="0"/>
    </xf>
    <xf numFmtId="0" fontId="2" fillId="0" borderId="16" xfId="0" applyNumberFormat="1" applyFont="1" applyFill="1" applyBorder="1" applyAlignment="1" applyProtection="1">
      <alignment horizontal="center" vertical="top" wrapText="1" shrinkToFit="1"/>
      <protection locked="0"/>
    </xf>
    <xf numFmtId="14" fontId="3" fillId="0" borderId="19" xfId="0" applyNumberFormat="1" applyFont="1" applyFill="1" applyBorder="1" applyAlignment="1" applyProtection="1">
      <alignment horizontal="center" vertical="top" wrapText="1" readingOrder="1"/>
      <protection locked="0"/>
    </xf>
    <xf numFmtId="0" fontId="3" fillId="0" borderId="18" xfId="0" applyFont="1" applyFill="1" applyBorder="1" applyAlignment="1" applyProtection="1">
      <alignment horizontal="center" vertical="top" wrapText="1" readingOrder="1"/>
      <protection locked="0"/>
    </xf>
    <xf numFmtId="0" fontId="2" fillId="0" borderId="16"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horizontal="center" vertical="center" wrapText="1" shrinkToFit="1"/>
      <protection locked="0"/>
    </xf>
    <xf numFmtId="0" fontId="3" fillId="0" borderId="16"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top" wrapText="1" shrinkToFit="1"/>
      <protection locked="0"/>
    </xf>
    <xf numFmtId="0" fontId="3" fillId="0" borderId="16" xfId="0" applyNumberFormat="1" applyFont="1" applyFill="1" applyBorder="1" applyAlignment="1" applyProtection="1">
      <alignment horizontal="center" vertical="center" wrapText="1" shrinkToFit="1"/>
      <protection locked="0"/>
    </xf>
    <xf numFmtId="0" fontId="3" fillId="0" borderId="11" xfId="0" applyNumberFormat="1" applyFont="1" applyFill="1" applyBorder="1" applyAlignment="1" applyProtection="1">
      <alignment horizontal="center" vertical="center" wrapText="1" shrinkToFit="1"/>
      <protection locked="0"/>
    </xf>
    <xf numFmtId="14" fontId="3" fillId="0" borderId="16" xfId="0" applyNumberFormat="1" applyFont="1" applyFill="1" applyBorder="1" applyAlignment="1" applyProtection="1">
      <alignment horizontal="center" vertical="center" wrapText="1" shrinkToFit="1"/>
      <protection locked="0"/>
    </xf>
    <xf numFmtId="14" fontId="3" fillId="0" borderId="11" xfId="0" applyNumberFormat="1" applyFont="1" applyFill="1" applyBorder="1" applyAlignment="1" applyProtection="1">
      <alignment horizontal="center" vertical="center" wrapText="1" shrinkToFit="1"/>
      <protection locked="0"/>
    </xf>
    <xf numFmtId="4" fontId="3" fillId="0" borderId="42" xfId="0" applyNumberFormat="1" applyFont="1" applyFill="1" applyBorder="1" applyAlignment="1" applyProtection="1">
      <alignment horizontal="right" vertical="center" wrapText="1" readingOrder="1"/>
      <protection locked="0"/>
    </xf>
    <xf numFmtId="4" fontId="3" fillId="0" borderId="48" xfId="0" applyNumberFormat="1" applyFont="1" applyFill="1" applyBorder="1" applyAlignment="1" applyProtection="1">
      <alignment horizontal="right" vertical="center" wrapText="1" readingOrder="1"/>
      <protection locked="0"/>
    </xf>
    <xf numFmtId="0" fontId="3" fillId="0" borderId="10" xfId="0" applyFont="1" applyFill="1" applyBorder="1" applyAlignment="1" applyProtection="1">
      <alignment horizontal="left" vertical="top" wrapText="1" readingOrder="1"/>
      <protection locked="0"/>
    </xf>
    <xf numFmtId="14" fontId="3" fillId="0" borderId="10" xfId="0" applyNumberFormat="1" applyFont="1" applyFill="1" applyBorder="1" applyAlignment="1" applyProtection="1">
      <alignment horizontal="center" vertical="center" wrapText="1" shrinkToFit="1"/>
      <protection locked="0"/>
    </xf>
    <xf numFmtId="0" fontId="2" fillId="0" borderId="0" xfId="0" applyNumberFormat="1" applyFont="1" applyFill="1" applyBorder="1" applyAlignment="1" applyProtection="1">
      <alignment horizontal="center" vertical="top" wrapText="1"/>
      <protection/>
    </xf>
    <xf numFmtId="0" fontId="2" fillId="0" borderId="51" xfId="0" applyNumberFormat="1" applyFont="1" applyFill="1" applyBorder="1" applyAlignment="1" applyProtection="1">
      <alignment horizontal="center" vertical="top" wrapText="1"/>
      <protection/>
    </xf>
    <xf numFmtId="0" fontId="4" fillId="0" borderId="13" xfId="0" applyFont="1" applyFill="1" applyBorder="1" applyAlignment="1" applyProtection="1">
      <alignment horizontal="left" vertical="top" wrapText="1" readingOrder="1"/>
      <protection locked="0"/>
    </xf>
    <xf numFmtId="0" fontId="4" fillId="0" borderId="28" xfId="0" applyFont="1" applyFill="1" applyBorder="1" applyAlignment="1" applyProtection="1">
      <alignment horizontal="left" vertical="top" wrapText="1" readingOrder="1"/>
      <protection locked="0"/>
    </xf>
    <xf numFmtId="0" fontId="4" fillId="0" borderId="13" xfId="0" applyFont="1" applyFill="1" applyBorder="1" applyAlignment="1" applyProtection="1">
      <alignment horizontal="center" vertical="top" wrapText="1" readingOrder="1"/>
      <protection locked="0"/>
    </xf>
    <xf numFmtId="0" fontId="4" fillId="0" borderId="28" xfId="0" applyFont="1" applyFill="1" applyBorder="1" applyAlignment="1" applyProtection="1">
      <alignment horizontal="center" vertical="top" wrapText="1" readingOrder="1"/>
      <protection locked="0"/>
    </xf>
    <xf numFmtId="0" fontId="4" fillId="0" borderId="12" xfId="0" applyFont="1" applyFill="1" applyBorder="1" applyAlignment="1" applyProtection="1">
      <alignment horizontal="left" vertical="top" wrapText="1" readingOrder="1"/>
      <protection locked="0"/>
    </xf>
    <xf numFmtId="49" fontId="3" fillId="0" borderId="12" xfId="0" applyNumberFormat="1" applyFont="1" applyFill="1" applyBorder="1" applyAlignment="1" applyProtection="1">
      <alignment horizontal="center" vertical="top" wrapText="1" readingOrder="1"/>
      <protection locked="0"/>
    </xf>
    <xf numFmtId="0" fontId="2" fillId="0" borderId="12" xfId="0" applyNumberFormat="1" applyFont="1" applyFill="1" applyBorder="1" applyAlignment="1" applyProtection="1">
      <alignment horizontal="center" vertical="center" wrapText="1" shrinkToFit="1"/>
      <protection locked="0"/>
    </xf>
    <xf numFmtId="0" fontId="2" fillId="0" borderId="24" xfId="0" applyNumberFormat="1" applyFont="1" applyFill="1" applyBorder="1" applyAlignment="1" applyProtection="1">
      <alignment horizontal="center" vertical="top" wrapText="1" shrinkToFit="1"/>
      <protection locked="0"/>
    </xf>
    <xf numFmtId="14" fontId="2" fillId="0" borderId="13" xfId="0" applyNumberFormat="1" applyFont="1" applyFill="1" applyBorder="1" applyAlignment="1" applyProtection="1">
      <alignment horizontal="center" vertical="center" wrapText="1" shrinkToFit="1"/>
      <protection locked="0"/>
    </xf>
    <xf numFmtId="14" fontId="2" fillId="0" borderId="12" xfId="0" applyNumberFormat="1" applyFont="1" applyFill="1" applyBorder="1" applyAlignment="1" applyProtection="1">
      <alignment horizontal="center" vertical="center" wrapText="1" shrinkToFit="1"/>
      <protection locked="0"/>
    </xf>
    <xf numFmtId="0" fontId="7" fillId="0" borderId="10" xfId="0" applyFont="1" applyFill="1" applyBorder="1" applyAlignment="1">
      <alignment horizontal="center" vertical="top"/>
    </xf>
    <xf numFmtId="0" fontId="2" fillId="0" borderId="13"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14" fontId="2" fillId="0" borderId="10" xfId="0" applyNumberFormat="1" applyFont="1" applyFill="1" applyBorder="1" applyAlignment="1" applyProtection="1">
      <alignment horizontal="center" vertical="center" wrapText="1" shrinkToFit="1"/>
      <protection locked="0"/>
    </xf>
    <xf numFmtId="0" fontId="2" fillId="0" borderId="52" xfId="0" applyNumberFormat="1" applyFont="1" applyFill="1" applyBorder="1" applyAlignment="1" applyProtection="1">
      <alignment horizontal="center" vertical="center" wrapText="1" shrinkToFit="1"/>
      <protection locked="0"/>
    </xf>
    <xf numFmtId="0" fontId="2" fillId="0" borderId="29" xfId="0" applyNumberFormat="1" applyFont="1" applyFill="1" applyBorder="1" applyAlignment="1" applyProtection="1">
      <alignment horizontal="center" vertical="center" wrapText="1" shrinkToFit="1"/>
      <protection locked="0"/>
    </xf>
    <xf numFmtId="0" fontId="12" fillId="0" borderId="0" xfId="0" applyFont="1" applyFill="1" applyAlignment="1" applyProtection="1">
      <alignment horizontal="center" vertical="top" wrapText="1" readingOrder="1"/>
      <protection locked="0"/>
    </xf>
    <xf numFmtId="0" fontId="3" fillId="0" borderId="15" xfId="0" applyFont="1" applyFill="1" applyBorder="1" applyAlignment="1" applyProtection="1">
      <alignment horizontal="center" vertical="top" wrapText="1" readingOrder="1"/>
      <protection locked="0"/>
    </xf>
    <xf numFmtId="0" fontId="3" fillId="0" borderId="53" xfId="0" applyFont="1" applyFill="1" applyBorder="1" applyAlignment="1" applyProtection="1">
      <alignment vertical="top" wrapText="1"/>
      <protection locked="0"/>
    </xf>
    <xf numFmtId="0" fontId="3" fillId="0" borderId="34" xfId="0" applyFont="1" applyFill="1" applyBorder="1" applyAlignment="1" applyProtection="1">
      <alignment vertical="top" wrapText="1"/>
      <protection locked="0"/>
    </xf>
    <xf numFmtId="0" fontId="3" fillId="0" borderId="12" xfId="0" applyFont="1" applyFill="1" applyBorder="1" applyAlignment="1" applyProtection="1">
      <alignment horizontal="center" vertical="center" wrapText="1" readingOrder="1"/>
      <protection locked="0"/>
    </xf>
    <xf numFmtId="0" fontId="3" fillId="0" borderId="46" xfId="0" applyFont="1" applyFill="1" applyBorder="1" applyAlignment="1" applyProtection="1">
      <alignment horizontal="center" vertical="center" wrapText="1" readingOrder="1"/>
      <protection locked="0"/>
    </xf>
    <xf numFmtId="0" fontId="3" fillId="0" borderId="42" xfId="0" applyFont="1" applyFill="1" applyBorder="1" applyAlignment="1" applyProtection="1">
      <alignment horizontal="center" vertical="center" wrapText="1" readingOrder="1"/>
      <protection locked="0"/>
    </xf>
    <xf numFmtId="0" fontId="3" fillId="0" borderId="54" xfId="0" applyFont="1" applyFill="1" applyBorder="1" applyAlignment="1" applyProtection="1">
      <alignment horizontal="center" vertical="center" wrapText="1" readingOrder="1"/>
      <protection locked="0"/>
    </xf>
    <xf numFmtId="0" fontId="3" fillId="0" borderId="48" xfId="0" applyFont="1" applyFill="1" applyBorder="1" applyAlignment="1" applyProtection="1">
      <alignment horizontal="center" vertical="center" wrapText="1" readingOrder="1"/>
      <protection locked="0"/>
    </xf>
    <xf numFmtId="0" fontId="2" fillId="0" borderId="14" xfId="0" applyNumberFormat="1" applyFont="1" applyFill="1" applyBorder="1" applyAlignment="1" applyProtection="1">
      <alignment horizontal="center" vertical="top" wrapText="1" shrinkToFit="1"/>
      <protection locked="0"/>
    </xf>
    <xf numFmtId="0" fontId="2" fillId="0" borderId="19"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shrinkToFit="1"/>
      <protection locked="0"/>
    </xf>
    <xf numFmtId="0" fontId="2" fillId="0" borderId="14"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shrinkToFit="1"/>
      <protection locked="0"/>
    </xf>
    <xf numFmtId="0" fontId="2" fillId="0" borderId="25" xfId="0" applyNumberFormat="1" applyFont="1" applyFill="1" applyBorder="1" applyAlignment="1" applyProtection="1">
      <alignment horizontal="center" vertical="center" wrapText="1" shrinkToFit="1"/>
      <protection locked="0"/>
    </xf>
    <xf numFmtId="0" fontId="2" fillId="0" borderId="11" xfId="0" applyNumberFormat="1" applyFont="1" applyFill="1" applyBorder="1" applyAlignment="1" applyProtection="1">
      <alignment horizontal="center" vertical="center" wrapText="1" shrinkToFit="1"/>
      <protection locked="0"/>
    </xf>
    <xf numFmtId="0" fontId="2" fillId="0" borderId="28" xfId="0" applyNumberFormat="1" applyFont="1" applyFill="1" applyBorder="1" applyAlignment="1" applyProtection="1">
      <alignment horizontal="center" vertical="top" wrapText="1" shrinkToFit="1"/>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2" fillId="0" borderId="13" xfId="0" applyNumberFormat="1" applyFont="1" applyFill="1" applyBorder="1" applyAlignment="1" applyProtection="1">
      <alignment horizontal="center" vertical="top" wrapText="1" shrinkToFit="1"/>
      <protection locked="0"/>
    </xf>
    <xf numFmtId="14" fontId="2" fillId="0" borderId="16" xfId="0" applyNumberFormat="1" applyFont="1" applyFill="1" applyBorder="1" applyAlignment="1" applyProtection="1">
      <alignment horizontal="center" vertical="top" wrapText="1" shrinkToFit="1"/>
      <protection locked="0"/>
    </xf>
    <xf numFmtId="14" fontId="2" fillId="0" borderId="10" xfId="0" applyNumberFormat="1" applyFont="1" applyFill="1" applyBorder="1" applyAlignment="1" applyProtection="1">
      <alignment horizontal="center" vertical="top" wrapText="1" shrinkToFit="1"/>
      <protection locked="0"/>
    </xf>
    <xf numFmtId="0" fontId="3" fillId="0" borderId="45" xfId="0" applyFont="1" applyFill="1" applyBorder="1" applyAlignment="1" applyProtection="1">
      <alignment horizontal="left" vertical="top" wrapText="1" readingOrder="1"/>
      <protection locked="0"/>
    </xf>
    <xf numFmtId="0" fontId="3" fillId="0" borderId="24" xfId="0" applyFont="1" applyFill="1" applyBorder="1" applyAlignment="1" applyProtection="1">
      <alignment horizontal="left" vertical="top" wrapText="1" readingOrder="1"/>
      <protection locked="0"/>
    </xf>
    <xf numFmtId="0" fontId="3" fillId="0" borderId="16" xfId="0" applyFont="1" applyFill="1" applyBorder="1" applyAlignment="1" applyProtection="1">
      <alignment horizontal="center" vertical="top" wrapText="1" readingOrder="1"/>
      <protection locked="0"/>
    </xf>
    <xf numFmtId="14" fontId="2" fillId="0" borderId="12" xfId="0" applyNumberFormat="1" applyFont="1" applyFill="1" applyBorder="1" applyAlignment="1" applyProtection="1">
      <alignment horizontal="center" vertical="top" wrapText="1" shrinkToFit="1"/>
      <protection locked="0"/>
    </xf>
    <xf numFmtId="14" fontId="2" fillId="0" borderId="28" xfId="0" applyNumberFormat="1" applyFont="1" applyFill="1" applyBorder="1" applyAlignment="1" applyProtection="1">
      <alignment horizontal="center" vertical="top" wrapText="1" shrinkToFit="1"/>
      <protection locked="0"/>
    </xf>
    <xf numFmtId="0" fontId="3" fillId="0" borderId="47" xfId="0" applyFont="1" applyFill="1" applyBorder="1" applyAlignment="1" applyProtection="1">
      <alignment horizontal="center" vertical="top" wrapText="1" readingOrder="1"/>
      <protection locked="0"/>
    </xf>
    <xf numFmtId="0" fontId="3" fillId="0" borderId="53" xfId="0" applyFont="1" applyFill="1" applyBorder="1" applyAlignment="1" applyProtection="1">
      <alignment horizontal="center" vertical="top" wrapText="1" readingOrder="1"/>
      <protection locked="0"/>
    </xf>
    <xf numFmtId="0" fontId="3" fillId="0" borderId="34" xfId="0" applyFont="1" applyFill="1" applyBorder="1" applyAlignment="1" applyProtection="1">
      <alignment horizontal="center" vertical="top" wrapText="1" readingOrder="1"/>
      <protection locked="0"/>
    </xf>
    <xf numFmtId="0" fontId="3" fillId="0" borderId="10" xfId="0" applyNumberFormat="1" applyFont="1" applyFill="1" applyBorder="1" applyAlignment="1" applyProtection="1">
      <alignment horizontal="center" vertical="top" wrapText="1" shrinkToFit="1" readingOrder="1"/>
      <protection locked="0"/>
    </xf>
    <xf numFmtId="0" fontId="3" fillId="0" borderId="55" xfId="0" applyFont="1" applyFill="1" applyBorder="1" applyAlignment="1" applyProtection="1">
      <alignment horizontal="center" vertical="center" wrapText="1" readingOrder="1"/>
      <protection locked="0"/>
    </xf>
    <xf numFmtId="0" fontId="3" fillId="0" borderId="56" xfId="0" applyFont="1" applyFill="1" applyBorder="1" applyAlignment="1" applyProtection="1">
      <alignment horizontal="center" vertical="center" wrapText="1" readingOrder="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_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432"/>
  <sheetViews>
    <sheetView showGridLines="0" tabSelected="1" zoomScaleSheetLayoutView="80" zoomScalePageLayoutView="0" workbookViewId="0" topLeftCell="A1">
      <pane xSplit="2" ySplit="5" topLeftCell="H6" activePane="bottomRight" state="frozen"/>
      <selection pane="topLeft" activeCell="A1" sqref="A1"/>
      <selection pane="topRight" activeCell="C1" sqref="C1"/>
      <selection pane="bottomLeft" activeCell="A6" sqref="A6"/>
      <selection pane="bottomRight" activeCell="I359" sqref="I359:K359"/>
    </sheetView>
  </sheetViews>
  <sheetFormatPr defaultColWidth="9.140625" defaultRowHeight="12.75"/>
  <cols>
    <col min="1" max="1" width="36.140625" style="119" customWidth="1"/>
    <col min="2" max="2" width="5.8515625" style="119" customWidth="1"/>
    <col min="3" max="3" width="22.00390625" style="119" customWidth="1"/>
    <col min="4" max="4" width="6.28125" style="119" customWidth="1"/>
    <col min="5" max="5" width="9.00390625" style="119" customWidth="1"/>
    <col min="6" max="6" width="22.140625" style="119" customWidth="1"/>
    <col min="7" max="7" width="6.421875" style="119" customWidth="1"/>
    <col min="8" max="8" width="10.00390625" style="119" customWidth="1"/>
    <col min="9" max="9" width="49.00390625" style="119" customWidth="1"/>
    <col min="10" max="10" width="6.421875" style="119" customWidth="1"/>
    <col min="11" max="11" width="9.7109375" style="119" customWidth="1"/>
    <col min="12" max="13" width="3.7109375" style="119" customWidth="1"/>
    <col min="14" max="15" width="9.421875" style="119" customWidth="1"/>
    <col min="16" max="16" width="9.57421875" style="119" customWidth="1"/>
    <col min="17" max="17" width="10.140625" style="119" customWidth="1"/>
    <col min="18" max="18" width="9.28125" style="119" customWidth="1"/>
    <col min="19" max="19" width="8.8515625" style="119" hidden="1" customWidth="1"/>
    <col min="20" max="16384" width="9.140625" style="354" customWidth="1"/>
  </cols>
  <sheetData>
    <row r="1" spans="1:19" ht="18" customHeight="1">
      <c r="A1" s="514" t="s">
        <v>1189</v>
      </c>
      <c r="B1" s="514"/>
      <c r="C1" s="514"/>
      <c r="D1" s="514"/>
      <c r="E1" s="514"/>
      <c r="F1" s="514"/>
      <c r="G1" s="514"/>
      <c r="H1" s="514"/>
      <c r="I1" s="514"/>
      <c r="J1" s="514"/>
      <c r="K1" s="514"/>
      <c r="L1" s="514"/>
      <c r="M1" s="514"/>
      <c r="N1" s="514"/>
      <c r="O1" s="514"/>
      <c r="P1" s="514"/>
      <c r="Q1" s="514"/>
      <c r="R1" s="514"/>
      <c r="S1" s="514"/>
    </row>
    <row r="2" spans="1:19" s="355" customFormat="1" ht="12.75" customHeight="1">
      <c r="A2" s="456" t="s">
        <v>165</v>
      </c>
      <c r="B2" s="456" t="s">
        <v>0</v>
      </c>
      <c r="C2" s="515" t="s">
        <v>29</v>
      </c>
      <c r="D2" s="516"/>
      <c r="E2" s="516"/>
      <c r="F2" s="516"/>
      <c r="G2" s="516"/>
      <c r="H2" s="516"/>
      <c r="I2" s="516"/>
      <c r="J2" s="516"/>
      <c r="K2" s="517"/>
      <c r="L2" s="519" t="s">
        <v>1</v>
      </c>
      <c r="M2" s="520"/>
      <c r="N2" s="543" t="s">
        <v>2</v>
      </c>
      <c r="O2" s="544"/>
      <c r="P2" s="544"/>
      <c r="Q2" s="544"/>
      <c r="R2" s="544"/>
      <c r="S2" s="545"/>
    </row>
    <row r="3" spans="1:19" s="355" customFormat="1" ht="23.25" customHeight="1">
      <c r="A3" s="518"/>
      <c r="B3" s="518"/>
      <c r="C3" s="515" t="s">
        <v>30</v>
      </c>
      <c r="D3" s="516"/>
      <c r="E3" s="517"/>
      <c r="F3" s="515" t="s">
        <v>31</v>
      </c>
      <c r="G3" s="516"/>
      <c r="H3" s="517"/>
      <c r="I3" s="515" t="s">
        <v>167</v>
      </c>
      <c r="J3" s="516"/>
      <c r="K3" s="517"/>
      <c r="L3" s="521"/>
      <c r="M3" s="522"/>
      <c r="N3" s="547" t="s">
        <v>1069</v>
      </c>
      <c r="O3" s="548"/>
      <c r="P3" s="456" t="s">
        <v>1070</v>
      </c>
      <c r="Q3" s="456" t="s">
        <v>1071</v>
      </c>
      <c r="R3" s="515" t="s">
        <v>32</v>
      </c>
      <c r="S3" s="517"/>
    </row>
    <row r="4" spans="1:19" s="355" customFormat="1" ht="86.25" customHeight="1">
      <c r="A4" s="457"/>
      <c r="B4" s="457"/>
      <c r="C4" s="158" t="s">
        <v>973</v>
      </c>
      <c r="D4" s="158" t="s">
        <v>33</v>
      </c>
      <c r="E4" s="158" t="s">
        <v>34</v>
      </c>
      <c r="F4" s="158" t="s">
        <v>973</v>
      </c>
      <c r="G4" s="158" t="s">
        <v>33</v>
      </c>
      <c r="H4" s="158" t="s">
        <v>34</v>
      </c>
      <c r="I4" s="158" t="s">
        <v>973</v>
      </c>
      <c r="J4" s="158" t="s">
        <v>33</v>
      </c>
      <c r="K4" s="158" t="s">
        <v>34</v>
      </c>
      <c r="L4" s="158" t="s">
        <v>35</v>
      </c>
      <c r="M4" s="158" t="s">
        <v>36</v>
      </c>
      <c r="N4" s="158" t="s">
        <v>37</v>
      </c>
      <c r="O4" s="158" t="s">
        <v>38</v>
      </c>
      <c r="P4" s="457"/>
      <c r="Q4" s="457"/>
      <c r="R4" s="158" t="s">
        <v>166</v>
      </c>
      <c r="S4" s="160" t="s">
        <v>1072</v>
      </c>
    </row>
    <row r="5" spans="1:19" s="355" customFormat="1" ht="12">
      <c r="A5" s="161" t="s">
        <v>3</v>
      </c>
      <c r="B5" s="161" t="s">
        <v>39</v>
      </c>
      <c r="C5" s="158" t="s">
        <v>40</v>
      </c>
      <c r="D5" s="158" t="s">
        <v>41</v>
      </c>
      <c r="E5" s="158" t="s">
        <v>42</v>
      </c>
      <c r="F5" s="158" t="s">
        <v>43</v>
      </c>
      <c r="G5" s="158" t="s">
        <v>44</v>
      </c>
      <c r="H5" s="158" t="s">
        <v>45</v>
      </c>
      <c r="I5" s="158">
        <v>9</v>
      </c>
      <c r="J5" s="158">
        <v>10</v>
      </c>
      <c r="K5" s="158">
        <v>11</v>
      </c>
      <c r="L5" s="158">
        <v>12</v>
      </c>
      <c r="M5" s="158">
        <v>13</v>
      </c>
      <c r="N5" s="161">
        <v>14</v>
      </c>
      <c r="O5" s="161">
        <v>15</v>
      </c>
      <c r="P5" s="161">
        <v>16</v>
      </c>
      <c r="Q5" s="161">
        <v>17</v>
      </c>
      <c r="R5" s="158">
        <v>18</v>
      </c>
      <c r="S5" s="160">
        <v>19</v>
      </c>
    </row>
    <row r="6" spans="1:19" s="356" customFormat="1" ht="60">
      <c r="A6" s="162" t="s">
        <v>51</v>
      </c>
      <c r="B6" s="162" t="s">
        <v>52</v>
      </c>
      <c r="C6" s="163" t="s">
        <v>53</v>
      </c>
      <c r="D6" s="163" t="s">
        <v>53</v>
      </c>
      <c r="E6" s="163" t="s">
        <v>53</v>
      </c>
      <c r="F6" s="163" t="s">
        <v>53</v>
      </c>
      <c r="G6" s="163" t="s">
        <v>53</v>
      </c>
      <c r="H6" s="163" t="s">
        <v>53</v>
      </c>
      <c r="I6" s="163" t="s">
        <v>53</v>
      </c>
      <c r="J6" s="163" t="s">
        <v>53</v>
      </c>
      <c r="K6" s="163" t="s">
        <v>53</v>
      </c>
      <c r="L6" s="163"/>
      <c r="M6" s="163"/>
      <c r="N6" s="164">
        <f aca="true" t="shared" si="0" ref="N6:S6">N7+N208+N236+N264+N300</f>
        <v>1445757.50074</v>
      </c>
      <c r="O6" s="164">
        <f t="shared" si="0"/>
        <v>1423512.4848</v>
      </c>
      <c r="P6" s="164">
        <f t="shared" si="0"/>
        <v>1454747.05291</v>
      </c>
      <c r="Q6" s="164">
        <f t="shared" si="0"/>
        <v>1196796.3</v>
      </c>
      <c r="R6" s="164">
        <f t="shared" si="0"/>
        <v>1178001.1</v>
      </c>
      <c r="S6" s="164" t="e">
        <f t="shared" si="0"/>
        <v>#REF!</v>
      </c>
    </row>
    <row r="7" spans="1:19" s="356" customFormat="1" ht="72">
      <c r="A7" s="162" t="s">
        <v>54</v>
      </c>
      <c r="B7" s="162" t="s">
        <v>55</v>
      </c>
      <c r="C7" s="163" t="s">
        <v>53</v>
      </c>
      <c r="D7" s="163" t="s">
        <v>53</v>
      </c>
      <c r="E7" s="163" t="s">
        <v>53</v>
      </c>
      <c r="F7" s="163" t="s">
        <v>53</v>
      </c>
      <c r="G7" s="163" t="s">
        <v>53</v>
      </c>
      <c r="H7" s="163" t="s">
        <v>53</v>
      </c>
      <c r="I7" s="163" t="s">
        <v>53</v>
      </c>
      <c r="J7" s="163" t="s">
        <v>53</v>
      </c>
      <c r="K7" s="163" t="s">
        <v>53</v>
      </c>
      <c r="L7" s="163"/>
      <c r="M7" s="163"/>
      <c r="N7" s="165">
        <f aca="true" t="shared" si="1" ref="N7:S7">N8+N20+N25+N26+N33+N47+N48+N60+N62+N63+N125+N127+N128+N129+N137+N155+N156+N174+N191+N194</f>
        <v>480444.49157</v>
      </c>
      <c r="O7" s="165">
        <f t="shared" si="1"/>
        <v>475434.5838699999</v>
      </c>
      <c r="P7" s="165">
        <f t="shared" si="1"/>
        <v>540588.8556700001</v>
      </c>
      <c r="Q7" s="165">
        <f t="shared" si="1"/>
        <v>360193.89999999997</v>
      </c>
      <c r="R7" s="165">
        <f t="shared" si="1"/>
        <v>351612.89999999997</v>
      </c>
      <c r="S7" s="165">
        <f t="shared" si="1"/>
        <v>321514.5999999999</v>
      </c>
    </row>
    <row r="8" spans="1:19" s="356" customFormat="1" ht="84">
      <c r="A8" s="167" t="s">
        <v>56</v>
      </c>
      <c r="B8" s="168">
        <v>1002</v>
      </c>
      <c r="C8" s="169"/>
      <c r="D8" s="169"/>
      <c r="E8" s="169"/>
      <c r="F8" s="169"/>
      <c r="G8" s="169"/>
      <c r="H8" s="169"/>
      <c r="I8" s="169"/>
      <c r="J8" s="169"/>
      <c r="K8" s="169"/>
      <c r="L8" s="169"/>
      <c r="M8" s="169"/>
      <c r="N8" s="170">
        <f aca="true" t="shared" si="2" ref="N8:S8">SUM(N9:N10)</f>
        <v>20125.52375</v>
      </c>
      <c r="O8" s="170">
        <f t="shared" si="2"/>
        <v>19969.682399999998</v>
      </c>
      <c r="P8" s="170">
        <f t="shared" si="2"/>
        <v>18802.841</v>
      </c>
      <c r="Q8" s="170">
        <f>SUM(Q9:Q10)</f>
        <v>18738.100000000002</v>
      </c>
      <c r="R8" s="170">
        <f>SUM(R9:R10)</f>
        <v>18738.100000000002</v>
      </c>
      <c r="S8" s="170">
        <f t="shared" si="2"/>
        <v>18738.100000000002</v>
      </c>
    </row>
    <row r="9" spans="1:19" s="357" customFormat="1" ht="12">
      <c r="A9" s="171" t="s">
        <v>246</v>
      </c>
      <c r="B9" s="171"/>
      <c r="C9" s="172"/>
      <c r="D9" s="172"/>
      <c r="E9" s="172"/>
      <c r="F9" s="172"/>
      <c r="G9" s="172"/>
      <c r="H9" s="172"/>
      <c r="I9" s="172"/>
      <c r="J9" s="172"/>
      <c r="K9" s="172"/>
      <c r="L9" s="173" t="s">
        <v>58</v>
      </c>
      <c r="M9" s="173" t="s">
        <v>59</v>
      </c>
      <c r="N9" s="174">
        <f aca="true" t="shared" si="3" ref="N9:S9">N11+N18</f>
        <v>18775.62375</v>
      </c>
      <c r="O9" s="174">
        <f t="shared" si="3"/>
        <v>18619.8144</v>
      </c>
      <c r="P9" s="174">
        <f t="shared" si="3"/>
        <v>18802.841</v>
      </c>
      <c r="Q9" s="174">
        <f>Q11+Q18</f>
        <v>18738.100000000002</v>
      </c>
      <c r="R9" s="174">
        <f>R11+R18</f>
        <v>18738.100000000002</v>
      </c>
      <c r="S9" s="174">
        <f t="shared" si="3"/>
        <v>18738.100000000002</v>
      </c>
    </row>
    <row r="10" spans="1:19" s="357" customFormat="1" ht="12">
      <c r="A10" s="171"/>
      <c r="B10" s="171"/>
      <c r="C10" s="172"/>
      <c r="D10" s="172"/>
      <c r="E10" s="172"/>
      <c r="F10" s="172"/>
      <c r="G10" s="172"/>
      <c r="H10" s="172"/>
      <c r="I10" s="172"/>
      <c r="J10" s="172"/>
      <c r="K10" s="172"/>
      <c r="L10" s="175" t="s">
        <v>58</v>
      </c>
      <c r="M10" s="176" t="s">
        <v>49</v>
      </c>
      <c r="N10" s="174">
        <f aca="true" t="shared" si="4" ref="N10:S10">N19</f>
        <v>1349.9</v>
      </c>
      <c r="O10" s="174">
        <f t="shared" si="4"/>
        <v>1349.868</v>
      </c>
      <c r="P10" s="174">
        <f t="shared" si="4"/>
        <v>0</v>
      </c>
      <c r="Q10" s="174">
        <f>Q19</f>
        <v>0</v>
      </c>
      <c r="R10" s="174">
        <f>R19</f>
        <v>0</v>
      </c>
      <c r="S10" s="174">
        <f t="shared" si="4"/>
        <v>0</v>
      </c>
    </row>
    <row r="11" spans="1:19" s="355" customFormat="1" ht="61.5" customHeight="1">
      <c r="A11" s="177" t="s">
        <v>245</v>
      </c>
      <c r="B11" s="178"/>
      <c r="C11" s="63" t="s">
        <v>168</v>
      </c>
      <c r="D11" s="63" t="s">
        <v>169</v>
      </c>
      <c r="E11" s="63" t="s">
        <v>170</v>
      </c>
      <c r="F11" s="63" t="s">
        <v>171</v>
      </c>
      <c r="G11" s="63" t="s">
        <v>172</v>
      </c>
      <c r="H11" s="63" t="s">
        <v>173</v>
      </c>
      <c r="I11" s="63" t="s">
        <v>194</v>
      </c>
      <c r="J11" s="63" t="s">
        <v>197</v>
      </c>
      <c r="K11" s="63" t="s">
        <v>191</v>
      </c>
      <c r="L11" s="179" t="s">
        <v>58</v>
      </c>
      <c r="M11" s="179" t="s">
        <v>59</v>
      </c>
      <c r="N11" s="180">
        <v>15102</v>
      </c>
      <c r="O11" s="180">
        <v>14947.70717</v>
      </c>
      <c r="P11" s="180">
        <v>15119.441</v>
      </c>
      <c r="Q11" s="180">
        <v>15114.7</v>
      </c>
      <c r="R11" s="180">
        <v>15114.7</v>
      </c>
      <c r="S11" s="181">
        <v>15114.7</v>
      </c>
    </row>
    <row r="12" spans="1:19" s="355" customFormat="1" ht="120.75" customHeight="1">
      <c r="A12" s="177"/>
      <c r="B12" s="178"/>
      <c r="C12" s="63" t="s">
        <v>174</v>
      </c>
      <c r="D12" s="63" t="s">
        <v>175</v>
      </c>
      <c r="E12" s="63" t="s">
        <v>176</v>
      </c>
      <c r="F12" s="63" t="s">
        <v>177</v>
      </c>
      <c r="G12" s="63" t="s">
        <v>178</v>
      </c>
      <c r="H12" s="63" t="s">
        <v>179</v>
      </c>
      <c r="I12" s="63" t="s">
        <v>965</v>
      </c>
      <c r="J12" s="63" t="s">
        <v>197</v>
      </c>
      <c r="K12" s="63" t="s">
        <v>191</v>
      </c>
      <c r="L12" s="157"/>
      <c r="M12" s="157"/>
      <c r="N12" s="180"/>
      <c r="O12" s="180"/>
      <c r="P12" s="180"/>
      <c r="Q12" s="180"/>
      <c r="R12" s="180"/>
      <c r="S12" s="64"/>
    </row>
    <row r="13" spans="1:19" s="355" customFormat="1" ht="83.25" customHeight="1">
      <c r="A13" s="177"/>
      <c r="B13" s="178"/>
      <c r="C13" s="63"/>
      <c r="D13" s="63"/>
      <c r="E13" s="63"/>
      <c r="F13" s="182" t="s">
        <v>186</v>
      </c>
      <c r="G13" s="182" t="s">
        <v>197</v>
      </c>
      <c r="H13" s="182" t="s">
        <v>187</v>
      </c>
      <c r="I13" s="63" t="s">
        <v>195</v>
      </c>
      <c r="J13" s="63" t="s">
        <v>197</v>
      </c>
      <c r="K13" s="63" t="s">
        <v>193</v>
      </c>
      <c r="L13" s="157"/>
      <c r="M13" s="157"/>
      <c r="N13" s="180"/>
      <c r="O13" s="180"/>
      <c r="P13" s="180"/>
      <c r="Q13" s="180"/>
      <c r="R13" s="180"/>
      <c r="S13" s="64"/>
    </row>
    <row r="14" spans="1:19" s="355" customFormat="1" ht="118.5" customHeight="1">
      <c r="A14" s="177"/>
      <c r="B14" s="178"/>
      <c r="C14" s="63" t="s">
        <v>183</v>
      </c>
      <c r="D14" s="63" t="s">
        <v>197</v>
      </c>
      <c r="E14" s="63" t="s">
        <v>185</v>
      </c>
      <c r="F14" s="63" t="s">
        <v>190</v>
      </c>
      <c r="G14" s="63" t="s">
        <v>197</v>
      </c>
      <c r="H14" s="63" t="s">
        <v>191</v>
      </c>
      <c r="I14" s="63" t="s">
        <v>196</v>
      </c>
      <c r="J14" s="63" t="s">
        <v>197</v>
      </c>
      <c r="K14" s="63" t="s">
        <v>198</v>
      </c>
      <c r="L14" s="157"/>
      <c r="M14" s="157"/>
      <c r="N14" s="180"/>
      <c r="O14" s="180"/>
      <c r="P14" s="180"/>
      <c r="Q14" s="180"/>
      <c r="R14" s="180"/>
      <c r="S14" s="64"/>
    </row>
    <row r="15" spans="1:19" s="355" customFormat="1" ht="168.75" customHeight="1">
      <c r="A15" s="177"/>
      <c r="B15" s="178"/>
      <c r="C15" s="63" t="s">
        <v>188</v>
      </c>
      <c r="D15" s="63" t="s">
        <v>197</v>
      </c>
      <c r="E15" s="65" t="s">
        <v>189</v>
      </c>
      <c r="F15" s="182" t="s">
        <v>192</v>
      </c>
      <c r="G15" s="182" t="s">
        <v>197</v>
      </c>
      <c r="H15" s="182" t="s">
        <v>193</v>
      </c>
      <c r="I15" s="182" t="s">
        <v>199</v>
      </c>
      <c r="J15" s="182" t="s">
        <v>197</v>
      </c>
      <c r="K15" s="182" t="s">
        <v>200</v>
      </c>
      <c r="L15" s="157"/>
      <c r="M15" s="157"/>
      <c r="N15" s="180"/>
      <c r="O15" s="180"/>
      <c r="P15" s="180"/>
      <c r="Q15" s="180"/>
      <c r="R15" s="180"/>
      <c r="S15" s="64"/>
    </row>
    <row r="16" spans="1:19" s="355" customFormat="1" ht="36" customHeight="1">
      <c r="A16" s="177"/>
      <c r="B16" s="178"/>
      <c r="C16" s="63"/>
      <c r="D16" s="63"/>
      <c r="E16" s="65"/>
      <c r="F16" s="182"/>
      <c r="G16" s="182"/>
      <c r="H16" s="182"/>
      <c r="I16" s="63" t="s">
        <v>201</v>
      </c>
      <c r="J16" s="63" t="s">
        <v>197</v>
      </c>
      <c r="K16" s="63" t="s">
        <v>193</v>
      </c>
      <c r="L16" s="157"/>
      <c r="M16" s="157"/>
      <c r="N16" s="180"/>
      <c r="O16" s="180"/>
      <c r="P16" s="180"/>
      <c r="Q16" s="180"/>
      <c r="R16" s="180"/>
      <c r="S16" s="64"/>
    </row>
    <row r="17" spans="1:19" s="355" customFormat="1" ht="168" customHeight="1">
      <c r="A17" s="177"/>
      <c r="B17" s="178"/>
      <c r="C17" s="63"/>
      <c r="D17" s="63"/>
      <c r="E17" s="65"/>
      <c r="F17" s="182"/>
      <c r="G17" s="182"/>
      <c r="H17" s="182"/>
      <c r="I17" s="63" t="s">
        <v>203</v>
      </c>
      <c r="J17" s="63" t="s">
        <v>197</v>
      </c>
      <c r="K17" s="63" t="s">
        <v>191</v>
      </c>
      <c r="L17" s="157"/>
      <c r="M17" s="157"/>
      <c r="N17" s="180"/>
      <c r="O17" s="180"/>
      <c r="P17" s="180"/>
      <c r="Q17" s="180"/>
      <c r="R17" s="180"/>
      <c r="S17" s="64"/>
    </row>
    <row r="18" spans="1:19" s="355" customFormat="1" ht="36.75" customHeight="1">
      <c r="A18" s="177" t="s">
        <v>247</v>
      </c>
      <c r="B18" s="178"/>
      <c r="C18" s="63"/>
      <c r="D18" s="63"/>
      <c r="E18" s="65"/>
      <c r="F18" s="182"/>
      <c r="G18" s="182"/>
      <c r="H18" s="182"/>
      <c r="I18" s="55" t="s">
        <v>204</v>
      </c>
      <c r="J18" s="55" t="s">
        <v>197</v>
      </c>
      <c r="K18" s="55" t="s">
        <v>205</v>
      </c>
      <c r="L18" s="183" t="s">
        <v>58</v>
      </c>
      <c r="M18" s="183" t="s">
        <v>59</v>
      </c>
      <c r="N18" s="184">
        <v>3673.62375</v>
      </c>
      <c r="O18" s="184">
        <v>3672.10723</v>
      </c>
      <c r="P18" s="184">
        <v>3683.4</v>
      </c>
      <c r="Q18" s="184">
        <v>3623.4</v>
      </c>
      <c r="R18" s="184">
        <v>3623.4</v>
      </c>
      <c r="S18" s="402">
        <v>3623.4</v>
      </c>
    </row>
    <row r="19" spans="1:19" s="355" customFormat="1" ht="48">
      <c r="A19" s="185" t="s">
        <v>248</v>
      </c>
      <c r="B19" s="178"/>
      <c r="C19" s="182"/>
      <c r="D19" s="182"/>
      <c r="E19" s="182"/>
      <c r="F19" s="182"/>
      <c r="G19" s="182"/>
      <c r="H19" s="182"/>
      <c r="I19" s="63" t="s">
        <v>206</v>
      </c>
      <c r="J19" s="63" t="s">
        <v>197</v>
      </c>
      <c r="K19" s="63" t="s">
        <v>173</v>
      </c>
      <c r="L19" s="186" t="s">
        <v>58</v>
      </c>
      <c r="M19" s="187" t="s">
        <v>49</v>
      </c>
      <c r="N19" s="82">
        <v>1349.9</v>
      </c>
      <c r="O19" s="82">
        <v>1349.868</v>
      </c>
      <c r="P19" s="82">
        <v>0</v>
      </c>
      <c r="Q19" s="82">
        <v>0</v>
      </c>
      <c r="R19" s="82">
        <v>0</v>
      </c>
      <c r="S19" s="83">
        <v>0</v>
      </c>
    </row>
    <row r="20" spans="1:19" s="356" customFormat="1" ht="39" customHeight="1">
      <c r="A20" s="188" t="s">
        <v>60</v>
      </c>
      <c r="B20" s="189">
        <v>1004</v>
      </c>
      <c r="C20" s="190"/>
      <c r="D20" s="190"/>
      <c r="E20" s="190"/>
      <c r="F20" s="190"/>
      <c r="G20" s="190"/>
      <c r="H20" s="190"/>
      <c r="I20" s="66"/>
      <c r="J20" s="66"/>
      <c r="K20" s="66"/>
      <c r="L20" s="191" t="s">
        <v>58</v>
      </c>
      <c r="M20" s="191" t="s">
        <v>49</v>
      </c>
      <c r="N20" s="192">
        <f aca="true" t="shared" si="5" ref="N20:S20">SUM(N21:N24)</f>
        <v>13949.864199999998</v>
      </c>
      <c r="O20" s="192">
        <f t="shared" si="5"/>
        <v>13949.864199999998</v>
      </c>
      <c r="P20" s="192">
        <f t="shared" si="5"/>
        <v>2568.3</v>
      </c>
      <c r="Q20" s="192">
        <f t="shared" si="5"/>
        <v>2118.3</v>
      </c>
      <c r="R20" s="192">
        <f t="shared" si="5"/>
        <v>2118.3</v>
      </c>
      <c r="S20" s="192">
        <f t="shared" si="5"/>
        <v>2118.3</v>
      </c>
    </row>
    <row r="21" spans="1:19" s="355" customFormat="1" ht="119.25" customHeight="1">
      <c r="A21" s="193" t="s">
        <v>249</v>
      </c>
      <c r="B21" s="194"/>
      <c r="C21" s="21" t="s">
        <v>168</v>
      </c>
      <c r="D21" s="21" t="s">
        <v>208</v>
      </c>
      <c r="E21" s="21" t="s">
        <v>170</v>
      </c>
      <c r="F21" s="195" t="s">
        <v>57</v>
      </c>
      <c r="G21" s="195" t="s">
        <v>57</v>
      </c>
      <c r="H21" s="195" t="s">
        <v>57</v>
      </c>
      <c r="I21" s="196" t="s">
        <v>209</v>
      </c>
      <c r="J21" s="195" t="s">
        <v>210</v>
      </c>
      <c r="K21" s="195" t="s">
        <v>211</v>
      </c>
      <c r="L21" s="195" t="s">
        <v>58</v>
      </c>
      <c r="M21" s="195" t="s">
        <v>49</v>
      </c>
      <c r="N21" s="82">
        <f>4467.58753+4370.99471+2071.33333</f>
        <v>10909.91557</v>
      </c>
      <c r="O21" s="82">
        <f>4467.58753+4370.99471+2071.33333</f>
        <v>10909.91557</v>
      </c>
      <c r="P21" s="82">
        <f>2118.3+450</f>
        <v>2568.3</v>
      </c>
      <c r="Q21" s="82">
        <v>2118.3</v>
      </c>
      <c r="R21" s="82">
        <v>2118.3</v>
      </c>
      <c r="S21" s="82">
        <v>2118.3</v>
      </c>
    </row>
    <row r="22" spans="1:19" s="355" customFormat="1" ht="47.25" customHeight="1">
      <c r="A22" s="177"/>
      <c r="B22" s="177"/>
      <c r="C22" s="21"/>
      <c r="D22" s="21"/>
      <c r="E22" s="21"/>
      <c r="F22" s="195"/>
      <c r="G22" s="195"/>
      <c r="H22" s="195"/>
      <c r="I22" s="55" t="s">
        <v>237</v>
      </c>
      <c r="J22" s="55" t="s">
        <v>197</v>
      </c>
      <c r="K22" s="55" t="s">
        <v>205</v>
      </c>
      <c r="L22" s="195"/>
      <c r="M22" s="195"/>
      <c r="N22" s="197"/>
      <c r="O22" s="197"/>
      <c r="P22" s="197"/>
      <c r="Q22" s="197"/>
      <c r="R22" s="197"/>
      <c r="S22" s="197"/>
    </row>
    <row r="23" spans="1:19" s="355" customFormat="1" ht="95.25" customHeight="1">
      <c r="A23" s="198" t="s">
        <v>1073</v>
      </c>
      <c r="B23" s="199" t="s">
        <v>669</v>
      </c>
      <c r="C23" s="157"/>
      <c r="D23" s="157"/>
      <c r="E23" s="157"/>
      <c r="F23" s="157"/>
      <c r="G23" s="157"/>
      <c r="H23" s="157"/>
      <c r="I23" s="63" t="s">
        <v>727</v>
      </c>
      <c r="J23" s="63" t="s">
        <v>197</v>
      </c>
      <c r="K23" s="63" t="s">
        <v>726</v>
      </c>
      <c r="L23" s="157" t="s">
        <v>58</v>
      </c>
      <c r="M23" s="157" t="s">
        <v>49</v>
      </c>
      <c r="N23" s="180">
        <v>2999.63834</v>
      </c>
      <c r="O23" s="180">
        <v>2999.63834</v>
      </c>
      <c r="P23" s="180">
        <v>0</v>
      </c>
      <c r="Q23" s="180">
        <v>0</v>
      </c>
      <c r="R23" s="180">
        <v>0</v>
      </c>
      <c r="S23" s="180">
        <v>0</v>
      </c>
    </row>
    <row r="24" spans="1:19" s="355" customFormat="1" ht="72.75" customHeight="1">
      <c r="A24" s="326" t="s">
        <v>1074</v>
      </c>
      <c r="B24" s="249" t="s">
        <v>947</v>
      </c>
      <c r="C24" s="200"/>
      <c r="D24" s="200"/>
      <c r="E24" s="200"/>
      <c r="F24" s="200"/>
      <c r="G24" s="200"/>
      <c r="H24" s="200"/>
      <c r="I24" s="338" t="s">
        <v>962</v>
      </c>
      <c r="J24" s="338" t="s">
        <v>197</v>
      </c>
      <c r="K24" s="338" t="s">
        <v>963</v>
      </c>
      <c r="L24" s="200" t="s">
        <v>58</v>
      </c>
      <c r="M24" s="200" t="s">
        <v>49</v>
      </c>
      <c r="N24" s="241">
        <v>40.31029</v>
      </c>
      <c r="O24" s="241">
        <v>40.31029</v>
      </c>
      <c r="P24" s="241">
        <v>0</v>
      </c>
      <c r="Q24" s="241">
        <v>0</v>
      </c>
      <c r="R24" s="241">
        <v>0</v>
      </c>
      <c r="S24" s="241">
        <v>0</v>
      </c>
    </row>
    <row r="25" spans="1:19" s="356" customFormat="1" ht="59.25" customHeight="1">
      <c r="A25" s="201" t="s">
        <v>61</v>
      </c>
      <c r="B25" s="202" t="s">
        <v>62</v>
      </c>
      <c r="C25" s="21" t="s">
        <v>168</v>
      </c>
      <c r="D25" s="21" t="s">
        <v>674</v>
      </c>
      <c r="E25" s="21" t="s">
        <v>170</v>
      </c>
      <c r="F25" s="202"/>
      <c r="G25" s="202"/>
      <c r="H25" s="202"/>
      <c r="I25" s="67" t="s">
        <v>1257</v>
      </c>
      <c r="J25" s="67" t="s">
        <v>197</v>
      </c>
      <c r="K25" s="67" t="s">
        <v>1258</v>
      </c>
      <c r="L25" s="202" t="s">
        <v>63</v>
      </c>
      <c r="M25" s="202" t="s">
        <v>64</v>
      </c>
      <c r="N25" s="203">
        <v>0</v>
      </c>
      <c r="O25" s="203">
        <v>0</v>
      </c>
      <c r="P25" s="203">
        <v>2300</v>
      </c>
      <c r="Q25" s="203">
        <v>0</v>
      </c>
      <c r="R25" s="203">
        <v>0</v>
      </c>
      <c r="S25" s="203">
        <v>2000</v>
      </c>
    </row>
    <row r="26" spans="1:19" s="356" customFormat="1" ht="156" customHeight="1">
      <c r="A26" s="162" t="s">
        <v>4</v>
      </c>
      <c r="B26" s="163">
        <v>1006</v>
      </c>
      <c r="C26" s="163"/>
      <c r="D26" s="163"/>
      <c r="E26" s="163"/>
      <c r="F26" s="163"/>
      <c r="G26" s="163"/>
      <c r="H26" s="169"/>
      <c r="I26" s="169"/>
      <c r="J26" s="169"/>
      <c r="K26" s="169"/>
      <c r="L26" s="163" t="s">
        <v>65</v>
      </c>
      <c r="M26" s="163" t="s">
        <v>66</v>
      </c>
      <c r="N26" s="165">
        <f aca="true" t="shared" si="6" ref="N26:S26">SUM(N27:N31)</f>
        <v>27600.33071</v>
      </c>
      <c r="O26" s="165">
        <f t="shared" si="6"/>
        <v>27319.191120000003</v>
      </c>
      <c r="P26" s="165">
        <f t="shared" si="6"/>
        <v>3895.13301</v>
      </c>
      <c r="Q26" s="165">
        <f t="shared" si="6"/>
        <v>3289.3</v>
      </c>
      <c r="R26" s="165">
        <f t="shared" si="6"/>
        <v>3289.3</v>
      </c>
      <c r="S26" s="165">
        <f t="shared" si="6"/>
        <v>3289.3</v>
      </c>
    </row>
    <row r="27" spans="1:19" s="355" customFormat="1" ht="84" customHeight="1">
      <c r="A27" s="460" t="s">
        <v>251</v>
      </c>
      <c r="B27" s="470"/>
      <c r="C27" s="470" t="s">
        <v>168</v>
      </c>
      <c r="D27" s="470" t="s">
        <v>219</v>
      </c>
      <c r="E27" s="470" t="s">
        <v>170</v>
      </c>
      <c r="F27" s="470" t="s">
        <v>597</v>
      </c>
      <c r="G27" s="470" t="s">
        <v>868</v>
      </c>
      <c r="H27" s="477" t="s">
        <v>221</v>
      </c>
      <c r="I27" s="68" t="s">
        <v>212</v>
      </c>
      <c r="J27" s="68" t="s">
        <v>213</v>
      </c>
      <c r="K27" s="69" t="s">
        <v>214</v>
      </c>
      <c r="L27" s="187" t="s">
        <v>65</v>
      </c>
      <c r="M27" s="187" t="s">
        <v>66</v>
      </c>
      <c r="N27" s="82">
        <f>2857.70317+444.62155</f>
        <v>3302.3247199999996</v>
      </c>
      <c r="O27" s="82">
        <v>3302.32472</v>
      </c>
      <c r="P27" s="82">
        <f>3289.3+605.83301</f>
        <v>3895.13301</v>
      </c>
      <c r="Q27" s="82">
        <v>3289.3</v>
      </c>
      <c r="R27" s="82">
        <v>3289.3</v>
      </c>
      <c r="S27" s="82">
        <v>3289.3</v>
      </c>
    </row>
    <row r="28" spans="1:19" s="355" customFormat="1" ht="96.75" customHeight="1">
      <c r="A28" s="454"/>
      <c r="B28" s="471"/>
      <c r="C28" s="471"/>
      <c r="D28" s="471"/>
      <c r="E28" s="471"/>
      <c r="F28" s="471"/>
      <c r="G28" s="471"/>
      <c r="H28" s="483"/>
      <c r="I28" s="63" t="s">
        <v>1239</v>
      </c>
      <c r="J28" s="63" t="s">
        <v>197</v>
      </c>
      <c r="K28" s="70" t="s">
        <v>1131</v>
      </c>
      <c r="L28" s="195"/>
      <c r="M28" s="195"/>
      <c r="N28" s="197"/>
      <c r="O28" s="197"/>
      <c r="P28" s="197"/>
      <c r="Q28" s="197"/>
      <c r="R28" s="197"/>
      <c r="S28" s="197"/>
    </row>
    <row r="29" spans="1:19" s="355" customFormat="1" ht="84">
      <c r="A29" s="454"/>
      <c r="B29" s="471"/>
      <c r="C29" s="195"/>
      <c r="D29" s="195"/>
      <c r="E29" s="195"/>
      <c r="F29" s="195"/>
      <c r="G29" s="195"/>
      <c r="H29" s="206"/>
      <c r="I29" s="63" t="s">
        <v>216</v>
      </c>
      <c r="J29" s="63" t="s">
        <v>197</v>
      </c>
      <c r="K29" s="70" t="s">
        <v>217</v>
      </c>
      <c r="L29" s="195"/>
      <c r="M29" s="195"/>
      <c r="N29" s="197"/>
      <c r="O29" s="197"/>
      <c r="P29" s="197"/>
      <c r="Q29" s="197"/>
      <c r="R29" s="197"/>
      <c r="S29" s="197"/>
    </row>
    <row r="30" spans="1:19" s="355" customFormat="1" ht="36">
      <c r="A30" s="205"/>
      <c r="B30" s="195"/>
      <c r="C30" s="195"/>
      <c r="D30" s="195"/>
      <c r="E30" s="195"/>
      <c r="F30" s="195"/>
      <c r="G30" s="195"/>
      <c r="H30" s="195"/>
      <c r="I30" s="21" t="s">
        <v>1034</v>
      </c>
      <c r="J30" s="21" t="s">
        <v>197</v>
      </c>
      <c r="K30" s="96" t="s">
        <v>1035</v>
      </c>
      <c r="L30" s="207"/>
      <c r="M30" s="195"/>
      <c r="N30" s="197">
        <v>720.50599</v>
      </c>
      <c r="O30" s="197">
        <v>720.50599</v>
      </c>
      <c r="P30" s="197">
        <v>0</v>
      </c>
      <c r="Q30" s="197">
        <v>0</v>
      </c>
      <c r="R30" s="197">
        <v>0</v>
      </c>
      <c r="S30" s="197">
        <v>0</v>
      </c>
    </row>
    <row r="31" spans="1:19" s="355" customFormat="1" ht="71.25" customHeight="1">
      <c r="A31" s="205"/>
      <c r="B31" s="208" t="s">
        <v>916</v>
      </c>
      <c r="C31" s="195"/>
      <c r="D31" s="195"/>
      <c r="E31" s="195"/>
      <c r="F31" s="195"/>
      <c r="G31" s="195"/>
      <c r="H31" s="195"/>
      <c r="I31" s="21" t="s">
        <v>1240</v>
      </c>
      <c r="J31" s="21" t="s">
        <v>197</v>
      </c>
      <c r="K31" s="21" t="s">
        <v>1241</v>
      </c>
      <c r="L31" s="195"/>
      <c r="M31" s="195"/>
      <c r="N31" s="197">
        <v>23577.5</v>
      </c>
      <c r="O31" s="197">
        <v>23296.36041</v>
      </c>
      <c r="P31" s="197">
        <v>0</v>
      </c>
      <c r="Q31" s="197">
        <v>0</v>
      </c>
      <c r="R31" s="197">
        <v>0</v>
      </c>
      <c r="S31" s="197">
        <v>0</v>
      </c>
    </row>
    <row r="32" spans="1:19" s="355" customFormat="1" ht="48">
      <c r="A32" s="209"/>
      <c r="B32" s="161"/>
      <c r="C32" s="161"/>
      <c r="D32" s="161"/>
      <c r="E32" s="161"/>
      <c r="F32" s="161"/>
      <c r="G32" s="161"/>
      <c r="H32" s="161"/>
      <c r="I32" s="56" t="s">
        <v>237</v>
      </c>
      <c r="J32" s="56" t="s">
        <v>197</v>
      </c>
      <c r="K32" s="56" t="s">
        <v>205</v>
      </c>
      <c r="L32" s="161"/>
      <c r="M32" s="161"/>
      <c r="N32" s="210"/>
      <c r="O32" s="210"/>
      <c r="P32" s="210"/>
      <c r="Q32" s="210"/>
      <c r="R32" s="210"/>
      <c r="S32" s="210"/>
    </row>
    <row r="33" spans="1:19" s="356" customFormat="1" ht="58.5" customHeight="1">
      <c r="A33" s="211" t="s">
        <v>67</v>
      </c>
      <c r="B33" s="212" t="s">
        <v>68</v>
      </c>
      <c r="C33" s="201"/>
      <c r="D33" s="201"/>
      <c r="E33" s="201"/>
      <c r="F33" s="202"/>
      <c r="G33" s="202"/>
      <c r="H33" s="202"/>
      <c r="I33" s="146"/>
      <c r="J33" s="146"/>
      <c r="K33" s="147"/>
      <c r="L33" s="213" t="s">
        <v>65</v>
      </c>
      <c r="M33" s="214" t="s">
        <v>69</v>
      </c>
      <c r="N33" s="203">
        <f aca="true" t="shared" si="7" ref="N33:S33">SUM(N34:N45)</f>
        <v>8669.41607</v>
      </c>
      <c r="O33" s="203">
        <f t="shared" si="7"/>
        <v>8326.32205</v>
      </c>
      <c r="P33" s="203">
        <f t="shared" si="7"/>
        <v>6559.6</v>
      </c>
      <c r="Q33" s="203">
        <f t="shared" si="7"/>
        <v>6370.4</v>
      </c>
      <c r="R33" s="203">
        <f t="shared" si="7"/>
        <v>6370.4</v>
      </c>
      <c r="S33" s="203">
        <f t="shared" si="7"/>
        <v>6370.4</v>
      </c>
    </row>
    <row r="34" spans="1:19" s="355" customFormat="1" ht="95.25" customHeight="1">
      <c r="A34" s="193" t="s">
        <v>253</v>
      </c>
      <c r="B34" s="193"/>
      <c r="C34" s="187" t="s">
        <v>168</v>
      </c>
      <c r="D34" s="187" t="s">
        <v>225</v>
      </c>
      <c r="E34" s="187" t="s">
        <v>170</v>
      </c>
      <c r="F34" s="187" t="s">
        <v>57</v>
      </c>
      <c r="G34" s="187" t="s">
        <v>57</v>
      </c>
      <c r="H34" s="187" t="s">
        <v>57</v>
      </c>
      <c r="I34" s="139" t="s">
        <v>1242</v>
      </c>
      <c r="J34" s="139" t="s">
        <v>197</v>
      </c>
      <c r="K34" s="139" t="s">
        <v>214</v>
      </c>
      <c r="L34" s="195" t="s">
        <v>65</v>
      </c>
      <c r="M34" s="187" t="s">
        <v>69</v>
      </c>
      <c r="N34" s="82">
        <f>2833.34621+412.93184</f>
        <v>3246.2780500000003</v>
      </c>
      <c r="O34" s="82">
        <f>2833.34621+412.93184</f>
        <v>3246.2780500000003</v>
      </c>
      <c r="P34" s="82">
        <v>3278.5</v>
      </c>
      <c r="Q34" s="82">
        <v>3017</v>
      </c>
      <c r="R34" s="82">
        <v>3017</v>
      </c>
      <c r="S34" s="82">
        <v>3017</v>
      </c>
    </row>
    <row r="35" spans="1:19" s="355" customFormat="1" ht="60">
      <c r="A35" s="177"/>
      <c r="B35" s="177"/>
      <c r="C35" s="177"/>
      <c r="D35" s="177"/>
      <c r="E35" s="177"/>
      <c r="F35" s="177"/>
      <c r="G35" s="177"/>
      <c r="H35" s="177"/>
      <c r="I35" s="17" t="s">
        <v>809</v>
      </c>
      <c r="J35" s="17" t="s">
        <v>197</v>
      </c>
      <c r="K35" s="17" t="s">
        <v>810</v>
      </c>
      <c r="L35" s="195"/>
      <c r="M35" s="195"/>
      <c r="N35" s="197"/>
      <c r="O35" s="197"/>
      <c r="P35" s="197"/>
      <c r="Q35" s="197"/>
      <c r="R35" s="197"/>
      <c r="S35" s="197"/>
    </row>
    <row r="36" spans="1:19" s="355" customFormat="1" ht="60">
      <c r="A36" s="177"/>
      <c r="B36" s="177"/>
      <c r="C36" s="177"/>
      <c r="D36" s="177"/>
      <c r="E36" s="177"/>
      <c r="F36" s="177"/>
      <c r="G36" s="177"/>
      <c r="H36" s="177"/>
      <c r="I36" s="17" t="s">
        <v>1243</v>
      </c>
      <c r="J36" s="17" t="s">
        <v>197</v>
      </c>
      <c r="K36" s="17" t="s">
        <v>811</v>
      </c>
      <c r="L36" s="195"/>
      <c r="M36" s="195"/>
      <c r="N36" s="197"/>
      <c r="O36" s="197"/>
      <c r="P36" s="197"/>
      <c r="Q36" s="197"/>
      <c r="R36" s="197"/>
      <c r="S36" s="197"/>
    </row>
    <row r="37" spans="1:19" s="355" customFormat="1" ht="72">
      <c r="A37" s="177"/>
      <c r="B37" s="177"/>
      <c r="C37" s="177"/>
      <c r="D37" s="177"/>
      <c r="E37" s="177"/>
      <c r="F37" s="177"/>
      <c r="G37" s="177"/>
      <c r="H37" s="177"/>
      <c r="I37" s="17" t="s">
        <v>812</v>
      </c>
      <c r="J37" s="17" t="s">
        <v>197</v>
      </c>
      <c r="K37" s="17" t="s">
        <v>813</v>
      </c>
      <c r="L37" s="195"/>
      <c r="M37" s="195"/>
      <c r="N37" s="197"/>
      <c r="O37" s="197"/>
      <c r="P37" s="197"/>
      <c r="Q37" s="197"/>
      <c r="R37" s="197"/>
      <c r="S37" s="197"/>
    </row>
    <row r="38" spans="1:19" s="355" customFormat="1" ht="48">
      <c r="A38" s="177"/>
      <c r="B38" s="177"/>
      <c r="C38" s="177"/>
      <c r="D38" s="177"/>
      <c r="E38" s="177"/>
      <c r="F38" s="177"/>
      <c r="G38" s="177"/>
      <c r="H38" s="177"/>
      <c r="I38" s="17" t="s">
        <v>814</v>
      </c>
      <c r="J38" s="17" t="s">
        <v>197</v>
      </c>
      <c r="K38" s="17" t="s">
        <v>725</v>
      </c>
      <c r="L38" s="195"/>
      <c r="M38" s="195"/>
      <c r="N38" s="197"/>
      <c r="O38" s="197"/>
      <c r="P38" s="197"/>
      <c r="Q38" s="197"/>
      <c r="R38" s="197"/>
      <c r="S38" s="197"/>
    </row>
    <row r="39" spans="1:19" s="355" customFormat="1" ht="84">
      <c r="A39" s="177"/>
      <c r="B39" s="177"/>
      <c r="C39" s="177"/>
      <c r="D39" s="177"/>
      <c r="E39" s="177"/>
      <c r="F39" s="177"/>
      <c r="G39" s="177"/>
      <c r="H39" s="177"/>
      <c r="I39" s="17" t="s">
        <v>911</v>
      </c>
      <c r="J39" s="17" t="s">
        <v>197</v>
      </c>
      <c r="K39" s="17" t="s">
        <v>912</v>
      </c>
      <c r="L39" s="195"/>
      <c r="M39" s="195"/>
      <c r="N39" s="197">
        <v>1257.644</v>
      </c>
      <c r="O39" s="197">
        <v>1257.644</v>
      </c>
      <c r="P39" s="197">
        <v>0</v>
      </c>
      <c r="Q39" s="197">
        <v>0</v>
      </c>
      <c r="R39" s="197">
        <v>0</v>
      </c>
      <c r="S39" s="197">
        <v>0</v>
      </c>
    </row>
    <row r="40" spans="1:19" s="355" customFormat="1" ht="13.5" customHeight="1">
      <c r="A40" s="177"/>
      <c r="B40" s="215" t="s">
        <v>749</v>
      </c>
      <c r="C40" s="177"/>
      <c r="D40" s="177"/>
      <c r="E40" s="177"/>
      <c r="F40" s="177"/>
      <c r="G40" s="177"/>
      <c r="H40" s="177"/>
      <c r="I40" s="17" t="s">
        <v>1244</v>
      </c>
      <c r="J40" s="17"/>
      <c r="K40" s="17"/>
      <c r="L40" s="195"/>
      <c r="M40" s="195"/>
      <c r="N40" s="197">
        <v>343.09402</v>
      </c>
      <c r="O40" s="197">
        <v>0</v>
      </c>
      <c r="P40" s="197">
        <v>0</v>
      </c>
      <c r="Q40" s="197">
        <v>0</v>
      </c>
      <c r="R40" s="197">
        <v>0</v>
      </c>
      <c r="S40" s="197">
        <v>0</v>
      </c>
    </row>
    <row r="41" spans="1:19" s="355" customFormat="1" ht="51" customHeight="1">
      <c r="A41" s="454" t="s">
        <v>670</v>
      </c>
      <c r="B41" s="177"/>
      <c r="C41" s="177"/>
      <c r="D41" s="177"/>
      <c r="E41" s="177"/>
      <c r="F41" s="177"/>
      <c r="G41" s="177"/>
      <c r="H41" s="177"/>
      <c r="I41" s="17" t="s">
        <v>716</v>
      </c>
      <c r="J41" s="17" t="s">
        <v>197</v>
      </c>
      <c r="K41" s="17" t="s">
        <v>215</v>
      </c>
      <c r="L41" s="195" t="s">
        <v>65</v>
      </c>
      <c r="M41" s="195" t="s">
        <v>69</v>
      </c>
      <c r="N41" s="197">
        <f>146.46906+3675.93094</f>
        <v>3822.4</v>
      </c>
      <c r="O41" s="197">
        <f>146.46906+3675.93094</f>
        <v>3822.4</v>
      </c>
      <c r="P41" s="197">
        <f>74.1+3207</f>
        <v>3281.1</v>
      </c>
      <c r="Q41" s="197">
        <v>3353.4</v>
      </c>
      <c r="R41" s="197">
        <v>3353.4</v>
      </c>
      <c r="S41" s="197">
        <v>3353.4</v>
      </c>
    </row>
    <row r="42" spans="1:19" s="355" customFormat="1" ht="75" customHeight="1">
      <c r="A42" s="454"/>
      <c r="B42" s="177"/>
      <c r="C42" s="177"/>
      <c r="D42" s="177"/>
      <c r="E42" s="177"/>
      <c r="F42" s="177"/>
      <c r="G42" s="177"/>
      <c r="H42" s="177"/>
      <c r="I42" s="17" t="s">
        <v>720</v>
      </c>
      <c r="J42" s="126" t="s">
        <v>197</v>
      </c>
      <c r="K42" s="126" t="s">
        <v>721</v>
      </c>
      <c r="L42" s="195"/>
      <c r="M42" s="195"/>
      <c r="N42" s="197"/>
      <c r="O42" s="197"/>
      <c r="P42" s="197"/>
      <c r="Q42" s="197"/>
      <c r="R42" s="197"/>
      <c r="S42" s="197"/>
    </row>
    <row r="43" spans="1:19" s="355" customFormat="1" ht="60">
      <c r="A43" s="454"/>
      <c r="B43" s="177"/>
      <c r="C43" s="177"/>
      <c r="D43" s="177"/>
      <c r="E43" s="177"/>
      <c r="F43" s="177"/>
      <c r="G43" s="177"/>
      <c r="H43" s="177"/>
      <c r="I43" s="17" t="s">
        <v>733</v>
      </c>
      <c r="J43" s="17" t="s">
        <v>197</v>
      </c>
      <c r="K43" s="17" t="s">
        <v>734</v>
      </c>
      <c r="L43" s="195"/>
      <c r="M43" s="195"/>
      <c r="N43" s="197"/>
      <c r="O43" s="197"/>
      <c r="P43" s="197"/>
      <c r="Q43" s="197"/>
      <c r="R43" s="197"/>
      <c r="S43" s="197"/>
    </row>
    <row r="44" spans="1:19" s="355" customFormat="1" ht="84">
      <c r="A44" s="177"/>
      <c r="B44" s="177"/>
      <c r="C44" s="177"/>
      <c r="D44" s="177"/>
      <c r="E44" s="177"/>
      <c r="F44" s="177"/>
      <c r="G44" s="177"/>
      <c r="H44" s="177"/>
      <c r="I44" s="17" t="s">
        <v>223</v>
      </c>
      <c r="J44" s="17" t="s">
        <v>197</v>
      </c>
      <c r="K44" s="17" t="s">
        <v>224</v>
      </c>
      <c r="L44" s="195"/>
      <c r="M44" s="195"/>
      <c r="N44" s="197"/>
      <c r="O44" s="197"/>
      <c r="P44" s="197"/>
      <c r="Q44" s="197"/>
      <c r="R44" s="197"/>
      <c r="S44" s="197"/>
    </row>
    <row r="45" spans="1:19" s="355" customFormat="1" ht="120">
      <c r="A45" s="177"/>
      <c r="B45" s="177"/>
      <c r="C45" s="177"/>
      <c r="D45" s="177"/>
      <c r="E45" s="177"/>
      <c r="F45" s="177"/>
      <c r="G45" s="177"/>
      <c r="H45" s="177"/>
      <c r="I45" s="19" t="s">
        <v>1037</v>
      </c>
      <c r="J45" s="19" t="s">
        <v>197</v>
      </c>
      <c r="K45" s="19" t="s">
        <v>717</v>
      </c>
      <c r="L45" s="195"/>
      <c r="M45" s="195"/>
      <c r="N45" s="197"/>
      <c r="O45" s="197"/>
      <c r="P45" s="197"/>
      <c r="Q45" s="197"/>
      <c r="R45" s="197"/>
      <c r="S45" s="197"/>
    </row>
    <row r="46" spans="1:19" s="355" customFormat="1" ht="48">
      <c r="A46" s="185"/>
      <c r="B46" s="185"/>
      <c r="C46" s="185"/>
      <c r="D46" s="185"/>
      <c r="E46" s="185"/>
      <c r="F46" s="185"/>
      <c r="G46" s="185"/>
      <c r="H46" s="185"/>
      <c r="I46" s="110" t="s">
        <v>237</v>
      </c>
      <c r="J46" s="110" t="s">
        <v>197</v>
      </c>
      <c r="K46" s="110" t="s">
        <v>205</v>
      </c>
      <c r="L46" s="161"/>
      <c r="M46" s="161"/>
      <c r="N46" s="210"/>
      <c r="O46" s="210"/>
      <c r="P46" s="210"/>
      <c r="Q46" s="210"/>
      <c r="R46" s="210"/>
      <c r="S46" s="210"/>
    </row>
    <row r="47" spans="1:19" s="356" customFormat="1" ht="275.25" customHeight="1" hidden="1">
      <c r="A47" s="201" t="s">
        <v>5</v>
      </c>
      <c r="B47" s="202" t="s">
        <v>254</v>
      </c>
      <c r="C47" s="195" t="s">
        <v>168</v>
      </c>
      <c r="D47" s="195" t="s">
        <v>675</v>
      </c>
      <c r="E47" s="195" t="s">
        <v>170</v>
      </c>
      <c r="F47" s="195" t="s">
        <v>881</v>
      </c>
      <c r="G47" s="177" t="s">
        <v>197</v>
      </c>
      <c r="H47" s="216" t="s">
        <v>882</v>
      </c>
      <c r="I47" s="140" t="s">
        <v>226</v>
      </c>
      <c r="J47" s="4" t="s">
        <v>197</v>
      </c>
      <c r="K47" s="4" t="s">
        <v>227</v>
      </c>
      <c r="L47" s="202" t="s">
        <v>58</v>
      </c>
      <c r="M47" s="202" t="s">
        <v>49</v>
      </c>
      <c r="N47" s="201">
        <v>0</v>
      </c>
      <c r="O47" s="201"/>
      <c r="P47" s="201">
        <v>0</v>
      </c>
      <c r="Q47" s="201"/>
      <c r="R47" s="201">
        <v>0</v>
      </c>
      <c r="S47" s="217"/>
    </row>
    <row r="48" spans="1:19" s="356" customFormat="1" ht="48">
      <c r="A48" s="167" t="s">
        <v>70</v>
      </c>
      <c r="B48" s="169">
        <v>1010</v>
      </c>
      <c r="C48" s="167"/>
      <c r="D48" s="167"/>
      <c r="E48" s="167"/>
      <c r="F48" s="167"/>
      <c r="G48" s="167"/>
      <c r="H48" s="167"/>
      <c r="I48" s="9"/>
      <c r="J48" s="10"/>
      <c r="K48" s="10"/>
      <c r="L48" s="169"/>
      <c r="M48" s="169"/>
      <c r="N48" s="170">
        <f aca="true" t="shared" si="8" ref="N48:S48">SUM(N50:N53)</f>
        <v>1750.52741</v>
      </c>
      <c r="O48" s="170">
        <f t="shared" si="8"/>
        <v>367.29595</v>
      </c>
      <c r="P48" s="170">
        <f t="shared" si="8"/>
        <v>3382</v>
      </c>
      <c r="Q48" s="170">
        <f>SUM(Q50:Q53)</f>
        <v>1730</v>
      </c>
      <c r="R48" s="170">
        <f>SUM(R50:R53)</f>
        <v>1734</v>
      </c>
      <c r="S48" s="170">
        <f t="shared" si="8"/>
        <v>1734</v>
      </c>
    </row>
    <row r="49" spans="1:19" s="356" customFormat="1" ht="12">
      <c r="A49" s="167" t="s">
        <v>246</v>
      </c>
      <c r="B49" s="169"/>
      <c r="C49" s="167"/>
      <c r="D49" s="167"/>
      <c r="E49" s="167"/>
      <c r="F49" s="167"/>
      <c r="G49" s="167"/>
      <c r="H49" s="167"/>
      <c r="I49" s="9"/>
      <c r="J49" s="10"/>
      <c r="K49" s="10"/>
      <c r="L49" s="163"/>
      <c r="M49" s="163"/>
      <c r="N49" s="167"/>
      <c r="O49" s="167"/>
      <c r="P49" s="167"/>
      <c r="Q49" s="167"/>
      <c r="R49" s="167"/>
      <c r="S49" s="167"/>
    </row>
    <row r="50" spans="1:19" s="357" customFormat="1" ht="12">
      <c r="A50" s="171"/>
      <c r="B50" s="172"/>
      <c r="C50" s="171"/>
      <c r="D50" s="171"/>
      <c r="E50" s="171"/>
      <c r="F50" s="171"/>
      <c r="G50" s="171"/>
      <c r="H50" s="171"/>
      <c r="I50" s="11"/>
      <c r="J50" s="12"/>
      <c r="K50" s="369"/>
      <c r="L50" s="275" t="s">
        <v>58</v>
      </c>
      <c r="M50" s="275" t="s">
        <v>49</v>
      </c>
      <c r="N50" s="174">
        <f aca="true" t="shared" si="9" ref="N50:S50">N56</f>
        <v>0</v>
      </c>
      <c r="O50" s="174">
        <f t="shared" si="9"/>
        <v>0</v>
      </c>
      <c r="P50" s="174">
        <f t="shared" si="9"/>
        <v>430</v>
      </c>
      <c r="Q50" s="174">
        <f>Q56</f>
        <v>100</v>
      </c>
      <c r="R50" s="174">
        <f>R56</f>
        <v>100</v>
      </c>
      <c r="S50" s="174">
        <f t="shared" si="9"/>
        <v>100</v>
      </c>
    </row>
    <row r="51" spans="1:19" s="357" customFormat="1" ht="12">
      <c r="A51" s="265"/>
      <c r="B51" s="176"/>
      <c r="C51" s="265"/>
      <c r="D51" s="265"/>
      <c r="E51" s="265"/>
      <c r="F51" s="265"/>
      <c r="G51" s="265"/>
      <c r="H51" s="265"/>
      <c r="I51" s="371"/>
      <c r="J51" s="372"/>
      <c r="K51" s="373"/>
      <c r="L51" s="374" t="s">
        <v>71</v>
      </c>
      <c r="M51" s="374" t="s">
        <v>66</v>
      </c>
      <c r="N51" s="219">
        <f aca="true" t="shared" si="10" ref="N51:S52">N54</f>
        <v>166.55943</v>
      </c>
      <c r="O51" s="219">
        <f t="shared" si="10"/>
        <v>166.55943</v>
      </c>
      <c r="P51" s="219">
        <f t="shared" si="10"/>
        <v>1498</v>
      </c>
      <c r="Q51" s="219">
        <f>Q54</f>
        <v>230</v>
      </c>
      <c r="R51" s="219">
        <f>R54</f>
        <v>234</v>
      </c>
      <c r="S51" s="219">
        <f t="shared" si="10"/>
        <v>234</v>
      </c>
    </row>
    <row r="52" spans="1:19" s="357" customFormat="1" ht="12">
      <c r="A52" s="272"/>
      <c r="B52" s="370"/>
      <c r="C52" s="272"/>
      <c r="D52" s="272"/>
      <c r="E52" s="272"/>
      <c r="F52" s="272"/>
      <c r="G52" s="272"/>
      <c r="H52" s="272"/>
      <c r="I52" s="379"/>
      <c r="J52" s="53"/>
      <c r="K52" s="53"/>
      <c r="L52" s="275" t="s">
        <v>71</v>
      </c>
      <c r="M52" s="275">
        <v>10</v>
      </c>
      <c r="N52" s="313">
        <f t="shared" si="10"/>
        <v>0</v>
      </c>
      <c r="O52" s="313">
        <f t="shared" si="10"/>
        <v>0</v>
      </c>
      <c r="P52" s="313">
        <f t="shared" si="10"/>
        <v>454</v>
      </c>
      <c r="Q52" s="313">
        <f>Q55</f>
        <v>400</v>
      </c>
      <c r="R52" s="313">
        <f>R55</f>
        <v>400</v>
      </c>
      <c r="S52" s="313">
        <f t="shared" si="10"/>
        <v>400</v>
      </c>
    </row>
    <row r="53" spans="1:19" s="357" customFormat="1" ht="12">
      <c r="A53" s="375"/>
      <c r="B53" s="332"/>
      <c r="C53" s="375"/>
      <c r="D53" s="375"/>
      <c r="E53" s="375"/>
      <c r="F53" s="375"/>
      <c r="G53" s="375"/>
      <c r="H53" s="375"/>
      <c r="I53" s="376"/>
      <c r="J53" s="377"/>
      <c r="K53" s="377"/>
      <c r="L53" s="218" t="s">
        <v>65</v>
      </c>
      <c r="M53" s="218" t="s">
        <v>59</v>
      </c>
      <c r="N53" s="378">
        <f aca="true" t="shared" si="11" ref="N53:S53">N57+N58</f>
        <v>1583.96798</v>
      </c>
      <c r="O53" s="378">
        <f t="shared" si="11"/>
        <v>200.73652</v>
      </c>
      <c r="P53" s="378">
        <f t="shared" si="11"/>
        <v>1000</v>
      </c>
      <c r="Q53" s="378">
        <f>Q57+Q58</f>
        <v>1000</v>
      </c>
      <c r="R53" s="378">
        <f>R57+R58</f>
        <v>1000</v>
      </c>
      <c r="S53" s="378">
        <f t="shared" si="11"/>
        <v>1000</v>
      </c>
    </row>
    <row r="54" spans="1:19" s="355" customFormat="1" ht="58.5" customHeight="1">
      <c r="A54" s="193" t="s">
        <v>255</v>
      </c>
      <c r="B54" s="187"/>
      <c r="C54" s="524" t="s">
        <v>238</v>
      </c>
      <c r="D54" s="526" t="s">
        <v>239</v>
      </c>
      <c r="E54" s="526" t="s">
        <v>240</v>
      </c>
      <c r="F54" s="523" t="s">
        <v>241</v>
      </c>
      <c r="G54" s="63" t="s">
        <v>242</v>
      </c>
      <c r="H54" s="63" t="s">
        <v>243</v>
      </c>
      <c r="I54" s="63" t="s">
        <v>228</v>
      </c>
      <c r="J54" s="63" t="s">
        <v>229</v>
      </c>
      <c r="K54" s="73" t="s">
        <v>230</v>
      </c>
      <c r="L54" s="187" t="s">
        <v>71</v>
      </c>
      <c r="M54" s="187" t="s">
        <v>66</v>
      </c>
      <c r="N54" s="82">
        <v>166.55943</v>
      </c>
      <c r="O54" s="82">
        <v>166.55943</v>
      </c>
      <c r="P54" s="82">
        <v>1498</v>
      </c>
      <c r="Q54" s="82">
        <f>210+20</f>
        <v>230</v>
      </c>
      <c r="R54" s="82">
        <f>210+24</f>
        <v>234</v>
      </c>
      <c r="S54" s="82">
        <f>210+24</f>
        <v>234</v>
      </c>
    </row>
    <row r="55" spans="1:19" s="355" customFormat="1" ht="84" customHeight="1">
      <c r="A55" s="177"/>
      <c r="B55" s="177"/>
      <c r="C55" s="525"/>
      <c r="D55" s="458"/>
      <c r="E55" s="458"/>
      <c r="F55" s="461"/>
      <c r="G55" s="74"/>
      <c r="H55" s="74"/>
      <c r="I55" s="55" t="s">
        <v>231</v>
      </c>
      <c r="J55" s="63" t="s">
        <v>232</v>
      </c>
      <c r="K55" s="73" t="s">
        <v>233</v>
      </c>
      <c r="L55" s="208" t="s">
        <v>71</v>
      </c>
      <c r="M55" s="208">
        <v>10</v>
      </c>
      <c r="N55" s="197">
        <v>0</v>
      </c>
      <c r="O55" s="197">
        <v>0</v>
      </c>
      <c r="P55" s="197">
        <v>454</v>
      </c>
      <c r="Q55" s="197">
        <v>400</v>
      </c>
      <c r="R55" s="197">
        <v>400</v>
      </c>
      <c r="S55" s="197">
        <v>400</v>
      </c>
    </row>
    <row r="56" spans="1:19" s="355" customFormat="1" ht="60.75" customHeight="1">
      <c r="A56" s="177"/>
      <c r="B56" s="177"/>
      <c r="C56" s="71" t="s">
        <v>168</v>
      </c>
      <c r="D56" s="72" t="s">
        <v>915</v>
      </c>
      <c r="E56" s="72" t="s">
        <v>170</v>
      </c>
      <c r="F56" s="74"/>
      <c r="G56" s="74"/>
      <c r="H56" s="74"/>
      <c r="I56" s="55" t="s">
        <v>333</v>
      </c>
      <c r="J56" s="55" t="s">
        <v>197</v>
      </c>
      <c r="K56" s="75" t="s">
        <v>335</v>
      </c>
      <c r="L56" s="245" t="s">
        <v>58</v>
      </c>
      <c r="M56" s="245">
        <v>13</v>
      </c>
      <c r="N56" s="210">
        <v>0</v>
      </c>
      <c r="O56" s="210">
        <v>0</v>
      </c>
      <c r="P56" s="210">
        <v>430</v>
      </c>
      <c r="Q56" s="210">
        <v>100</v>
      </c>
      <c r="R56" s="210">
        <v>100</v>
      </c>
      <c r="S56" s="210">
        <v>100</v>
      </c>
    </row>
    <row r="57" spans="1:19" s="355" customFormat="1" ht="117.75" customHeight="1">
      <c r="A57" s="177" t="s">
        <v>741</v>
      </c>
      <c r="B57" s="178"/>
      <c r="C57" s="177"/>
      <c r="D57" s="177"/>
      <c r="E57" s="177"/>
      <c r="F57" s="195"/>
      <c r="G57" s="177"/>
      <c r="H57" s="177"/>
      <c r="I57" s="1" t="s">
        <v>234</v>
      </c>
      <c r="J57" s="1" t="s">
        <v>235</v>
      </c>
      <c r="K57" s="2" t="s">
        <v>236</v>
      </c>
      <c r="L57" s="187" t="s">
        <v>65</v>
      </c>
      <c r="M57" s="187" t="s">
        <v>59</v>
      </c>
      <c r="N57" s="82">
        <v>200.73652</v>
      </c>
      <c r="O57" s="82">
        <v>200.73652</v>
      </c>
      <c r="P57" s="82">
        <v>1000</v>
      </c>
      <c r="Q57" s="82">
        <v>1000</v>
      </c>
      <c r="R57" s="82">
        <v>1000</v>
      </c>
      <c r="S57" s="83">
        <v>1000</v>
      </c>
    </row>
    <row r="58" spans="1:19" s="355" customFormat="1" ht="12.75" customHeight="1">
      <c r="A58" s="454" t="s">
        <v>742</v>
      </c>
      <c r="B58" s="208" t="s">
        <v>748</v>
      </c>
      <c r="C58" s="177"/>
      <c r="D58" s="177"/>
      <c r="E58" s="177"/>
      <c r="F58" s="177"/>
      <c r="G58" s="177"/>
      <c r="H58" s="177"/>
      <c r="I58" s="1"/>
      <c r="J58" s="1"/>
      <c r="K58" s="2"/>
      <c r="L58" s="179" t="s">
        <v>65</v>
      </c>
      <c r="M58" s="179" t="s">
        <v>59</v>
      </c>
      <c r="N58" s="221">
        <v>1383.23146</v>
      </c>
      <c r="O58" s="221">
        <v>0</v>
      </c>
      <c r="P58" s="221">
        <v>0</v>
      </c>
      <c r="Q58" s="221">
        <v>0</v>
      </c>
      <c r="R58" s="221">
        <v>0</v>
      </c>
      <c r="S58" s="403">
        <v>0</v>
      </c>
    </row>
    <row r="59" spans="1:19" s="355" customFormat="1" ht="48" customHeight="1">
      <c r="A59" s="455"/>
      <c r="B59" s="208"/>
      <c r="C59" s="177"/>
      <c r="D59" s="177"/>
      <c r="E59" s="177"/>
      <c r="F59" s="177"/>
      <c r="G59" s="177"/>
      <c r="H59" s="178"/>
      <c r="I59" s="3" t="s">
        <v>237</v>
      </c>
      <c r="J59" s="3" t="s">
        <v>197</v>
      </c>
      <c r="K59" s="3" t="s">
        <v>205</v>
      </c>
      <c r="L59" s="200"/>
      <c r="M59" s="200"/>
      <c r="N59" s="326"/>
      <c r="O59" s="326"/>
      <c r="P59" s="326"/>
      <c r="Q59" s="326"/>
      <c r="R59" s="326"/>
      <c r="S59" s="345"/>
    </row>
    <row r="60" spans="1:19" s="356" customFormat="1" ht="47.25" customHeight="1" hidden="1">
      <c r="A60" s="498" t="s">
        <v>72</v>
      </c>
      <c r="B60" s="500" t="s">
        <v>259</v>
      </c>
      <c r="C60" s="470" t="s">
        <v>168</v>
      </c>
      <c r="D60" s="470" t="s">
        <v>244</v>
      </c>
      <c r="E60" s="470" t="s">
        <v>170</v>
      </c>
      <c r="F60" s="187" t="s">
        <v>57</v>
      </c>
      <c r="G60" s="187" t="s">
        <v>57</v>
      </c>
      <c r="H60" s="204" t="s">
        <v>57</v>
      </c>
      <c r="I60" s="55" t="s">
        <v>237</v>
      </c>
      <c r="J60" s="55" t="s">
        <v>197</v>
      </c>
      <c r="K60" s="55" t="s">
        <v>205</v>
      </c>
      <c r="L60" s="286" t="s">
        <v>63</v>
      </c>
      <c r="M60" s="286" t="s">
        <v>58</v>
      </c>
      <c r="N60" s="259">
        <v>0</v>
      </c>
      <c r="O60" s="259"/>
      <c r="P60" s="259">
        <v>0</v>
      </c>
      <c r="Q60" s="259"/>
      <c r="R60" s="259">
        <v>0</v>
      </c>
      <c r="S60" s="360"/>
    </row>
    <row r="61" spans="1:19" s="356" customFormat="1" ht="120.75" customHeight="1" hidden="1">
      <c r="A61" s="499"/>
      <c r="B61" s="501"/>
      <c r="C61" s="472"/>
      <c r="D61" s="472"/>
      <c r="E61" s="472"/>
      <c r="F61" s="161"/>
      <c r="G61" s="161"/>
      <c r="H61" s="229"/>
      <c r="I61" s="63" t="s">
        <v>234</v>
      </c>
      <c r="J61" s="63" t="s">
        <v>235</v>
      </c>
      <c r="K61" s="65" t="s">
        <v>236</v>
      </c>
      <c r="L61" s="230"/>
      <c r="M61" s="230"/>
      <c r="N61" s="232"/>
      <c r="O61" s="232"/>
      <c r="P61" s="232"/>
      <c r="Q61" s="232"/>
      <c r="R61" s="232"/>
      <c r="S61" s="233"/>
    </row>
    <row r="62" spans="1:19" s="356" customFormat="1" ht="74.25" customHeight="1">
      <c r="A62" s="162" t="s">
        <v>73</v>
      </c>
      <c r="B62" s="162" t="s">
        <v>74</v>
      </c>
      <c r="C62" s="76" t="s">
        <v>168</v>
      </c>
      <c r="D62" s="77" t="s">
        <v>676</v>
      </c>
      <c r="E62" s="78" t="s">
        <v>170</v>
      </c>
      <c r="F62" s="193" t="s">
        <v>57</v>
      </c>
      <c r="G62" s="193" t="s">
        <v>57</v>
      </c>
      <c r="H62" s="193" t="s">
        <v>57</v>
      </c>
      <c r="I62" s="187" t="s">
        <v>263</v>
      </c>
      <c r="J62" s="187" t="s">
        <v>197</v>
      </c>
      <c r="K62" s="187" t="s">
        <v>262</v>
      </c>
      <c r="L62" s="163" t="s">
        <v>63</v>
      </c>
      <c r="M62" s="163" t="s">
        <v>71</v>
      </c>
      <c r="N62" s="165">
        <v>0</v>
      </c>
      <c r="O62" s="165">
        <v>0</v>
      </c>
      <c r="P62" s="165">
        <v>30</v>
      </c>
      <c r="Q62" s="165">
        <v>30</v>
      </c>
      <c r="R62" s="165">
        <v>30</v>
      </c>
      <c r="S62" s="166">
        <v>30</v>
      </c>
    </row>
    <row r="63" spans="1:19" s="355" customFormat="1" ht="228.75" customHeight="1">
      <c r="A63" s="162" t="s">
        <v>6</v>
      </c>
      <c r="B63" s="162" t="s">
        <v>75</v>
      </c>
      <c r="C63" s="79"/>
      <c r="D63" s="80"/>
      <c r="E63" s="81"/>
      <c r="F63" s="162" t="s">
        <v>57</v>
      </c>
      <c r="G63" s="162" t="s">
        <v>57</v>
      </c>
      <c r="H63" s="162" t="s">
        <v>57</v>
      </c>
      <c r="I63" s="162" t="s">
        <v>57</v>
      </c>
      <c r="J63" s="162" t="s">
        <v>57</v>
      </c>
      <c r="K63" s="162" t="s">
        <v>57</v>
      </c>
      <c r="L63" s="163"/>
      <c r="M63" s="163"/>
      <c r="N63" s="165">
        <f aca="true" t="shared" si="12" ref="N63:S63">SUM(N64:N68)</f>
        <v>295184.95047000004</v>
      </c>
      <c r="O63" s="165">
        <f t="shared" si="12"/>
        <v>292441.46207999997</v>
      </c>
      <c r="P63" s="165">
        <f t="shared" si="12"/>
        <v>331332.3196600001</v>
      </c>
      <c r="Q63" s="165">
        <f>SUM(Q64:Q68)</f>
        <v>221537.7</v>
      </c>
      <c r="R63" s="165">
        <f>SUM(R64:R68)</f>
        <v>222409.4</v>
      </c>
      <c r="S63" s="165">
        <f t="shared" si="12"/>
        <v>192337.09999999998</v>
      </c>
    </row>
    <row r="64" spans="1:19" s="358" customFormat="1" ht="12">
      <c r="A64" s="272" t="s">
        <v>246</v>
      </c>
      <c r="B64" s="352"/>
      <c r="C64" s="272"/>
      <c r="D64" s="272"/>
      <c r="E64" s="272"/>
      <c r="F64" s="272"/>
      <c r="G64" s="272"/>
      <c r="H64" s="272"/>
      <c r="I64" s="272"/>
      <c r="J64" s="272"/>
      <c r="K64" s="272"/>
      <c r="L64" s="266" t="s">
        <v>76</v>
      </c>
      <c r="M64" s="267" t="s">
        <v>58</v>
      </c>
      <c r="N64" s="219">
        <f aca="true" t="shared" si="13" ref="N64:S64">N75+N88+N106+N112+N120</f>
        <v>93270.13424</v>
      </c>
      <c r="O64" s="219">
        <f t="shared" si="13"/>
        <v>92555.22679</v>
      </c>
      <c r="P64" s="219">
        <f t="shared" si="13"/>
        <v>88576.19900000001</v>
      </c>
      <c r="Q64" s="219">
        <f>Q75+Q88+Q106+Q112+Q120</f>
        <v>56901.9</v>
      </c>
      <c r="R64" s="219">
        <f>R75+R88+R106+R112+R120</f>
        <v>62489.9</v>
      </c>
      <c r="S64" s="219">
        <f t="shared" si="13"/>
        <v>62519.9</v>
      </c>
    </row>
    <row r="65" spans="1:19" s="358" customFormat="1" ht="12">
      <c r="A65" s="272"/>
      <c r="B65" s="352"/>
      <c r="C65" s="353"/>
      <c r="D65" s="272"/>
      <c r="E65" s="272"/>
      <c r="F65" s="272"/>
      <c r="G65" s="272"/>
      <c r="H65" s="272"/>
      <c r="I65" s="272"/>
      <c r="J65" s="272"/>
      <c r="K65" s="272"/>
      <c r="L65" s="266" t="s">
        <v>76</v>
      </c>
      <c r="M65" s="267" t="s">
        <v>64</v>
      </c>
      <c r="N65" s="380">
        <f>N69+N73+N74+N76+N77+N82+N84+N86+N89+N90+N91+N93+N94+N97+N98+N99+N100+N101+N102+N103+N104+N105+N107+N114+N115+N122+N124</f>
        <v>195405.41623</v>
      </c>
      <c r="O65" s="380">
        <f>O69+O73+O74+O76+O77+O82+O84+O86+O89+O90+O91+O93+O94+O97+O98+O99+O100+O101+O102+O103+O104+O105+O107+O114+O115+O122+O124</f>
        <v>193377.55028999998</v>
      </c>
      <c r="P65" s="380">
        <f>P69+P73+P74+P76+P77+P82+P84+P86+P89+P90+P91+P93+P94+P97+P98+P99+P100+P101+P102+P103+P104+P105+P107+P114+P115+P122+P124+P123+P108</f>
        <v>160860.96466000006</v>
      </c>
      <c r="Q65" s="380">
        <f>Q69+Q73+Q74+Q76+Q77+Q82+Q84+Q86+Q89+Q90+Q91+Q93+Q94+Q97+Q98+Q99+Q100+Q101+Q102+Q103+Q104+Q105+Q107+Q114+Q115+Q122+Q124+Q123+Q108</f>
        <v>111947.70000000001</v>
      </c>
      <c r="R65" s="380">
        <f>R69+R73+R74+R76+R77+R82+R84+R86+R89+R90+R91+R93+R94+R97+R98+R99+R100+R101+R102+R103+R104+R105+R107+R114+R115+R122+R124+R123+R108</f>
        <v>107303.70000000001</v>
      </c>
      <c r="S65" s="380">
        <f>S69+S73+S74+S76+S77+S82+S84+S86+S89+S90+S91+S93+S114+S115+S122+S124+S124</f>
        <v>83789.4</v>
      </c>
    </row>
    <row r="66" spans="1:19" s="358" customFormat="1" ht="12">
      <c r="A66" s="272"/>
      <c r="B66" s="352"/>
      <c r="C66" s="353"/>
      <c r="D66" s="272"/>
      <c r="E66" s="272"/>
      <c r="F66" s="272"/>
      <c r="G66" s="272"/>
      <c r="H66" s="272"/>
      <c r="I66" s="272"/>
      <c r="J66" s="272"/>
      <c r="K66" s="272"/>
      <c r="L66" s="266" t="s">
        <v>76</v>
      </c>
      <c r="M66" s="267" t="s">
        <v>71</v>
      </c>
      <c r="N66" s="274">
        <f>N78+N110</f>
        <v>0</v>
      </c>
      <c r="O66" s="274">
        <f>O78+O110</f>
        <v>0</v>
      </c>
      <c r="P66" s="274">
        <f>P78+P110+P119+P85+P87+P109+P121</f>
        <v>75375.75600000001</v>
      </c>
      <c r="Q66" s="274">
        <f>Q78+Q110+Q119+Q85+Q87+Q109+Q121</f>
        <v>46168.700000000004</v>
      </c>
      <c r="R66" s="274">
        <f>R78+R110+R119+R85+R87+R109+R121</f>
        <v>46096.4</v>
      </c>
      <c r="S66" s="274">
        <f>S78+S110+S119</f>
        <v>43645.3</v>
      </c>
    </row>
    <row r="67" spans="1:19" s="358" customFormat="1" ht="12">
      <c r="A67" s="272"/>
      <c r="B67" s="352"/>
      <c r="C67" s="353"/>
      <c r="D67" s="272"/>
      <c r="E67" s="272"/>
      <c r="F67" s="272"/>
      <c r="G67" s="272"/>
      <c r="H67" s="272"/>
      <c r="I67" s="272"/>
      <c r="J67" s="272"/>
      <c r="K67" s="272"/>
      <c r="L67" s="266" t="s">
        <v>76</v>
      </c>
      <c r="M67" s="267" t="s">
        <v>76</v>
      </c>
      <c r="N67" s="274">
        <f aca="true" t="shared" si="14" ref="N67:S67">N79+N80</f>
        <v>6231.5</v>
      </c>
      <c r="O67" s="274">
        <f t="shared" si="14"/>
        <v>6230.785</v>
      </c>
      <c r="P67" s="274">
        <f>P79+P80</f>
        <v>6241.5</v>
      </c>
      <c r="Q67" s="274">
        <f>Q79+Q80</f>
        <v>6241.5</v>
      </c>
      <c r="R67" s="274">
        <f>R79+R80</f>
        <v>6241.5</v>
      </c>
      <c r="S67" s="274">
        <f t="shared" si="14"/>
        <v>2104.6</v>
      </c>
    </row>
    <row r="68" spans="1:19" s="358" customFormat="1" ht="12">
      <c r="A68" s="272"/>
      <c r="B68" s="352"/>
      <c r="C68" s="272"/>
      <c r="D68" s="272"/>
      <c r="E68" s="272"/>
      <c r="F68" s="272"/>
      <c r="G68" s="272"/>
      <c r="H68" s="272"/>
      <c r="I68" s="272"/>
      <c r="J68" s="272"/>
      <c r="K68" s="272"/>
      <c r="L68" s="266" t="s">
        <v>76</v>
      </c>
      <c r="M68" s="267" t="s">
        <v>66</v>
      </c>
      <c r="N68" s="274">
        <f aca="true" t="shared" si="15" ref="N68:S68">N81</f>
        <v>277.9</v>
      </c>
      <c r="O68" s="274">
        <f t="shared" si="15"/>
        <v>277.9</v>
      </c>
      <c r="P68" s="274">
        <f t="shared" si="15"/>
        <v>277.9</v>
      </c>
      <c r="Q68" s="274">
        <f>Q81</f>
        <v>277.9</v>
      </c>
      <c r="R68" s="274">
        <f>R81</f>
        <v>277.9</v>
      </c>
      <c r="S68" s="274">
        <f t="shared" si="15"/>
        <v>277.9</v>
      </c>
    </row>
    <row r="69" spans="1:19" s="355" customFormat="1" ht="86.25" customHeight="1">
      <c r="A69" s="475" t="s">
        <v>621</v>
      </c>
      <c r="B69" s="540"/>
      <c r="C69" s="54" t="s">
        <v>690</v>
      </c>
      <c r="D69" s="486" t="s">
        <v>678</v>
      </c>
      <c r="E69" s="486" t="s">
        <v>173</v>
      </c>
      <c r="F69" s="486" t="s">
        <v>688</v>
      </c>
      <c r="G69" s="486" t="s">
        <v>679</v>
      </c>
      <c r="H69" s="486" t="s">
        <v>447</v>
      </c>
      <c r="I69" s="54" t="s">
        <v>677</v>
      </c>
      <c r="J69" s="54" t="s">
        <v>197</v>
      </c>
      <c r="K69" s="54" t="s">
        <v>908</v>
      </c>
      <c r="L69" s="237" t="s">
        <v>76</v>
      </c>
      <c r="M69" s="237" t="s">
        <v>64</v>
      </c>
      <c r="N69" s="276">
        <f>46796.46041+3276.2676+2447.6521+500</f>
        <v>53020.38011</v>
      </c>
      <c r="O69" s="276">
        <f>46718.80551+3276.2676+2447.6521+500</f>
        <v>52942.72521</v>
      </c>
      <c r="P69" s="276">
        <f>52790.947+1567.889+2023</f>
        <v>56381.836</v>
      </c>
      <c r="Q69" s="276">
        <f>49152.3+2023</f>
        <v>51175.3</v>
      </c>
      <c r="R69" s="276">
        <f>49152.3+2023</f>
        <v>51175.3</v>
      </c>
      <c r="S69" s="404">
        <v>51175.3</v>
      </c>
    </row>
    <row r="70" spans="1:19" s="355" customFormat="1" ht="156">
      <c r="A70" s="494"/>
      <c r="B70" s="464"/>
      <c r="C70" s="55"/>
      <c r="D70" s="446"/>
      <c r="E70" s="446"/>
      <c r="F70" s="446"/>
      <c r="G70" s="446"/>
      <c r="H70" s="446"/>
      <c r="I70" s="55" t="s">
        <v>1127</v>
      </c>
      <c r="J70" s="55" t="s">
        <v>197</v>
      </c>
      <c r="K70" s="55" t="s">
        <v>909</v>
      </c>
      <c r="L70" s="199"/>
      <c r="M70" s="199"/>
      <c r="N70" s="278"/>
      <c r="O70" s="278"/>
      <c r="P70" s="278"/>
      <c r="Q70" s="278"/>
      <c r="R70" s="278"/>
      <c r="S70" s="279"/>
    </row>
    <row r="71" spans="1:19" s="355" customFormat="1" ht="60">
      <c r="A71" s="494"/>
      <c r="B71" s="464"/>
      <c r="C71" s="55"/>
      <c r="D71" s="446"/>
      <c r="E71" s="446"/>
      <c r="F71" s="446"/>
      <c r="G71" s="446"/>
      <c r="H71" s="446"/>
      <c r="I71" s="157" t="s">
        <v>624</v>
      </c>
      <c r="J71" s="157" t="s">
        <v>197</v>
      </c>
      <c r="K71" s="157" t="s">
        <v>642</v>
      </c>
      <c r="L71" s="157"/>
      <c r="M71" s="157"/>
      <c r="N71" s="278"/>
      <c r="O71" s="278"/>
      <c r="P71" s="278"/>
      <c r="Q71" s="278"/>
      <c r="R71" s="278"/>
      <c r="S71" s="279"/>
    </row>
    <row r="72" spans="1:19" s="355" customFormat="1" ht="72">
      <c r="A72" s="239"/>
      <c r="B72" s="157"/>
      <c r="C72" s="55" t="s">
        <v>689</v>
      </c>
      <c r="D72" s="55" t="s">
        <v>640</v>
      </c>
      <c r="E72" s="55" t="s">
        <v>641</v>
      </c>
      <c r="F72" s="240"/>
      <c r="G72" s="55"/>
      <c r="H72" s="55"/>
      <c r="I72" s="55" t="s">
        <v>883</v>
      </c>
      <c r="J72" s="55" t="s">
        <v>197</v>
      </c>
      <c r="K72" s="61" t="s">
        <v>643</v>
      </c>
      <c r="L72" s="200"/>
      <c r="M72" s="200"/>
      <c r="N72" s="327"/>
      <c r="O72" s="327"/>
      <c r="P72" s="327"/>
      <c r="Q72" s="327"/>
      <c r="R72" s="327"/>
      <c r="S72" s="381"/>
    </row>
    <row r="73" spans="1:19" s="355" customFormat="1" ht="51" customHeight="1">
      <c r="A73" s="494" t="s">
        <v>625</v>
      </c>
      <c r="B73" s="242"/>
      <c r="C73" s="446" t="s">
        <v>689</v>
      </c>
      <c r="D73" s="446" t="s">
        <v>680</v>
      </c>
      <c r="E73" s="446" t="s">
        <v>626</v>
      </c>
      <c r="F73" s="446" t="s">
        <v>627</v>
      </c>
      <c r="G73" s="446" t="s">
        <v>628</v>
      </c>
      <c r="H73" s="446" t="s">
        <v>545</v>
      </c>
      <c r="I73" s="446" t="s">
        <v>1222</v>
      </c>
      <c r="J73" s="446" t="s">
        <v>197</v>
      </c>
      <c r="K73" s="447" t="s">
        <v>179</v>
      </c>
      <c r="L73" s="243" t="s">
        <v>76</v>
      </c>
      <c r="M73" s="208" t="s">
        <v>64</v>
      </c>
      <c r="N73" s="363">
        <v>2455.8</v>
      </c>
      <c r="O73" s="363">
        <v>2455.7996</v>
      </c>
      <c r="P73" s="363">
        <v>3430</v>
      </c>
      <c r="Q73" s="363">
        <v>3430</v>
      </c>
      <c r="R73" s="363">
        <v>3430</v>
      </c>
      <c r="S73" s="405">
        <v>3430</v>
      </c>
    </row>
    <row r="74" spans="1:19" s="355" customFormat="1" ht="58.5" customHeight="1">
      <c r="A74" s="494"/>
      <c r="B74" s="242" t="s">
        <v>629</v>
      </c>
      <c r="C74" s="446"/>
      <c r="D74" s="446"/>
      <c r="E74" s="446"/>
      <c r="F74" s="446"/>
      <c r="G74" s="446"/>
      <c r="H74" s="446"/>
      <c r="I74" s="446"/>
      <c r="J74" s="446"/>
      <c r="K74" s="447"/>
      <c r="L74" s="244"/>
      <c r="M74" s="245"/>
      <c r="N74" s="282">
        <v>2644.8</v>
      </c>
      <c r="O74" s="282">
        <v>2644.3662</v>
      </c>
      <c r="P74" s="282">
        <v>2451.9</v>
      </c>
      <c r="Q74" s="282">
        <v>2451.9</v>
      </c>
      <c r="R74" s="282">
        <v>2451.9</v>
      </c>
      <c r="S74" s="283">
        <v>0</v>
      </c>
    </row>
    <row r="75" spans="1:19" s="355" customFormat="1" ht="42" customHeight="1">
      <c r="A75" s="527" t="s">
        <v>631</v>
      </c>
      <c r="B75" s="528"/>
      <c r="C75" s="446" t="s">
        <v>690</v>
      </c>
      <c r="D75" s="446" t="s">
        <v>681</v>
      </c>
      <c r="E75" s="446" t="s">
        <v>173</v>
      </c>
      <c r="F75" s="446" t="s">
        <v>688</v>
      </c>
      <c r="G75" s="446" t="s">
        <v>630</v>
      </c>
      <c r="H75" s="446" t="s">
        <v>447</v>
      </c>
      <c r="I75" s="446" t="s">
        <v>632</v>
      </c>
      <c r="J75" s="446" t="s">
        <v>197</v>
      </c>
      <c r="K75" s="447" t="s">
        <v>289</v>
      </c>
      <c r="L75" s="246" t="s">
        <v>76</v>
      </c>
      <c r="M75" s="247" t="s">
        <v>58</v>
      </c>
      <c r="N75" s="282">
        <f>64199.03864+15</f>
        <v>64214.03864</v>
      </c>
      <c r="O75" s="282">
        <f>64055.13119+15</f>
        <v>64070.13119</v>
      </c>
      <c r="P75" s="282">
        <v>58809.899</v>
      </c>
      <c r="Q75" s="282">
        <v>56774.9</v>
      </c>
      <c r="R75" s="282">
        <v>56774.9</v>
      </c>
      <c r="S75" s="283">
        <v>56774.9</v>
      </c>
    </row>
    <row r="76" spans="1:19" s="355" customFormat="1" ht="42" customHeight="1">
      <c r="A76" s="527"/>
      <c r="B76" s="528"/>
      <c r="C76" s="446"/>
      <c r="D76" s="446"/>
      <c r="E76" s="446"/>
      <c r="F76" s="446"/>
      <c r="G76" s="446"/>
      <c r="H76" s="446"/>
      <c r="I76" s="446"/>
      <c r="J76" s="446"/>
      <c r="K76" s="447"/>
      <c r="L76" s="248" t="s">
        <v>76</v>
      </c>
      <c r="M76" s="244" t="s">
        <v>64</v>
      </c>
      <c r="N76" s="282">
        <v>17183.46534</v>
      </c>
      <c r="O76" s="282">
        <v>17183.46534</v>
      </c>
      <c r="P76" s="282">
        <v>22547.1</v>
      </c>
      <c r="Q76" s="282">
        <v>22547.1</v>
      </c>
      <c r="R76" s="282">
        <v>22547.1</v>
      </c>
      <c r="S76" s="284">
        <v>22547.1</v>
      </c>
    </row>
    <row r="77" spans="1:19" s="355" customFormat="1" ht="60" customHeight="1">
      <c r="A77" s="494" t="s">
        <v>633</v>
      </c>
      <c r="B77" s="464"/>
      <c r="C77" s="55" t="s">
        <v>690</v>
      </c>
      <c r="D77" s="55" t="s">
        <v>682</v>
      </c>
      <c r="E77" s="55" t="s">
        <v>346</v>
      </c>
      <c r="F77" s="446" t="s">
        <v>688</v>
      </c>
      <c r="G77" s="446" t="s">
        <v>630</v>
      </c>
      <c r="H77" s="446" t="s">
        <v>447</v>
      </c>
      <c r="I77" s="55" t="s">
        <v>684</v>
      </c>
      <c r="J77" s="55" t="s">
        <v>197</v>
      </c>
      <c r="K77" s="61" t="s">
        <v>173</v>
      </c>
      <c r="L77" s="246" t="s">
        <v>76</v>
      </c>
      <c r="M77" s="247" t="s">
        <v>64</v>
      </c>
      <c r="N77" s="282">
        <f>42697.70533+300.38346</f>
        <v>42998.088789999994</v>
      </c>
      <c r="O77" s="282">
        <f>42682.85233+300.38346</f>
        <v>42983.23579</v>
      </c>
      <c r="P77" s="282">
        <v>0</v>
      </c>
      <c r="Q77" s="282">
        <v>0</v>
      </c>
      <c r="R77" s="282">
        <v>0</v>
      </c>
      <c r="S77" s="282">
        <v>0</v>
      </c>
    </row>
    <row r="78" spans="1:19" s="355" customFormat="1" ht="84">
      <c r="A78" s="494"/>
      <c r="B78" s="464"/>
      <c r="C78" s="55" t="s">
        <v>689</v>
      </c>
      <c r="D78" s="55" t="s">
        <v>683</v>
      </c>
      <c r="E78" s="55" t="s">
        <v>447</v>
      </c>
      <c r="F78" s="446"/>
      <c r="G78" s="446"/>
      <c r="H78" s="446"/>
      <c r="I78" s="55" t="s">
        <v>685</v>
      </c>
      <c r="J78" s="55" t="s">
        <v>197</v>
      </c>
      <c r="K78" s="55" t="s">
        <v>289</v>
      </c>
      <c r="L78" s="249" t="s">
        <v>76</v>
      </c>
      <c r="M78" s="250" t="s">
        <v>71</v>
      </c>
      <c r="N78" s="382">
        <v>0</v>
      </c>
      <c r="O78" s="382">
        <v>0</v>
      </c>
      <c r="P78" s="382">
        <f>44356.196+473.3</f>
        <v>44829.49600000001</v>
      </c>
      <c r="Q78" s="382">
        <f>42712.6+473.3</f>
        <v>43185.9</v>
      </c>
      <c r="R78" s="382">
        <f>42712.6+473.3</f>
        <v>43185.9</v>
      </c>
      <c r="S78" s="382">
        <v>43185.9</v>
      </c>
    </row>
    <row r="79" spans="1:19" s="355" customFormat="1" ht="60">
      <c r="A79" s="198" t="s">
        <v>634</v>
      </c>
      <c r="B79" s="198"/>
      <c r="C79" s="157"/>
      <c r="D79" s="157"/>
      <c r="E79" s="157"/>
      <c r="F79" s="546" t="s">
        <v>597</v>
      </c>
      <c r="G79" s="446" t="s">
        <v>636</v>
      </c>
      <c r="H79" s="446" t="s">
        <v>221</v>
      </c>
      <c r="I79" s="55" t="s">
        <v>856</v>
      </c>
      <c r="J79" s="55" t="s">
        <v>197</v>
      </c>
      <c r="K79" s="61" t="s">
        <v>635</v>
      </c>
      <c r="L79" s="237" t="s">
        <v>76</v>
      </c>
      <c r="M79" s="251" t="s">
        <v>76</v>
      </c>
      <c r="N79" s="282">
        <v>2094.6</v>
      </c>
      <c r="O79" s="282">
        <v>2094.6</v>
      </c>
      <c r="P79" s="282">
        <v>2104.6</v>
      </c>
      <c r="Q79" s="282">
        <v>2104.6</v>
      </c>
      <c r="R79" s="282">
        <v>2104.6</v>
      </c>
      <c r="S79" s="283">
        <v>2104.6</v>
      </c>
    </row>
    <row r="80" spans="1:19" s="355" customFormat="1" ht="48.75" customHeight="1">
      <c r="A80" s="198"/>
      <c r="B80" s="242" t="s">
        <v>639</v>
      </c>
      <c r="C80" s="157"/>
      <c r="D80" s="157"/>
      <c r="E80" s="157"/>
      <c r="F80" s="546"/>
      <c r="G80" s="446"/>
      <c r="H80" s="446"/>
      <c r="I80" s="55" t="s">
        <v>637</v>
      </c>
      <c r="J80" s="55" t="s">
        <v>197</v>
      </c>
      <c r="K80" s="61" t="s">
        <v>638</v>
      </c>
      <c r="L80" s="199"/>
      <c r="M80" s="243"/>
      <c r="N80" s="282">
        <v>4136.9</v>
      </c>
      <c r="O80" s="282">
        <v>4136.185</v>
      </c>
      <c r="P80" s="282">
        <v>4136.9</v>
      </c>
      <c r="Q80" s="282">
        <v>4136.9</v>
      </c>
      <c r="R80" s="282">
        <v>4136.9</v>
      </c>
      <c r="S80" s="283">
        <v>0</v>
      </c>
    </row>
    <row r="81" spans="1:19" s="355" customFormat="1" ht="84">
      <c r="A81" s="198" t="s">
        <v>644</v>
      </c>
      <c r="B81" s="198"/>
      <c r="C81" s="55" t="s">
        <v>690</v>
      </c>
      <c r="D81" s="55" t="s">
        <v>645</v>
      </c>
      <c r="E81" s="55" t="s">
        <v>173</v>
      </c>
      <c r="F81" s="240"/>
      <c r="G81" s="55"/>
      <c r="H81" s="55"/>
      <c r="I81" s="55" t="s">
        <v>1137</v>
      </c>
      <c r="J81" s="55" t="s">
        <v>197</v>
      </c>
      <c r="K81" s="61" t="s">
        <v>545</v>
      </c>
      <c r="L81" s="237" t="s">
        <v>76</v>
      </c>
      <c r="M81" s="237" t="s">
        <v>66</v>
      </c>
      <c r="N81" s="276">
        <v>277.9</v>
      </c>
      <c r="O81" s="276">
        <v>277.9</v>
      </c>
      <c r="P81" s="276">
        <v>277.9</v>
      </c>
      <c r="Q81" s="276">
        <v>277.9</v>
      </c>
      <c r="R81" s="276">
        <v>277.9</v>
      </c>
      <c r="S81" s="283">
        <v>277.9</v>
      </c>
    </row>
    <row r="82" spans="1:19" s="355" customFormat="1" ht="60.75" customHeight="1">
      <c r="A82" s="198" t="s">
        <v>1075</v>
      </c>
      <c r="B82" s="242" t="s">
        <v>646</v>
      </c>
      <c r="C82" s="157"/>
      <c r="D82" s="157"/>
      <c r="E82" s="157"/>
      <c r="F82" s="55" t="s">
        <v>886</v>
      </c>
      <c r="G82" s="61" t="s">
        <v>197</v>
      </c>
      <c r="H82" s="55" t="s">
        <v>647</v>
      </c>
      <c r="I82" s="55" t="s">
        <v>884</v>
      </c>
      <c r="J82" s="55" t="s">
        <v>197</v>
      </c>
      <c r="K82" s="61" t="s">
        <v>648</v>
      </c>
      <c r="L82" s="246" t="s">
        <v>76</v>
      </c>
      <c r="M82" s="246" t="s">
        <v>64</v>
      </c>
      <c r="N82" s="383">
        <v>20242.7</v>
      </c>
      <c r="O82" s="383">
        <v>20231.09542</v>
      </c>
      <c r="P82" s="383">
        <v>18889.8</v>
      </c>
      <c r="Q82" s="383">
        <v>18889.8</v>
      </c>
      <c r="R82" s="383">
        <v>18889.8</v>
      </c>
      <c r="S82" s="406">
        <v>0</v>
      </c>
    </row>
    <row r="83" spans="1:19" s="355" customFormat="1" ht="144">
      <c r="A83" s="198"/>
      <c r="B83" s="242"/>
      <c r="C83" s="157"/>
      <c r="D83" s="157"/>
      <c r="E83" s="157"/>
      <c r="F83" s="55" t="s">
        <v>885</v>
      </c>
      <c r="G83" s="61" t="s">
        <v>197</v>
      </c>
      <c r="H83" s="55" t="s">
        <v>545</v>
      </c>
      <c r="I83" s="55" t="s">
        <v>1235</v>
      </c>
      <c r="J83" s="55" t="s">
        <v>197</v>
      </c>
      <c r="K83" s="61" t="s">
        <v>296</v>
      </c>
      <c r="L83" s="248"/>
      <c r="M83" s="248"/>
      <c r="N83" s="280"/>
      <c r="O83" s="280"/>
      <c r="P83" s="280"/>
      <c r="Q83" s="280"/>
      <c r="R83" s="280"/>
      <c r="S83" s="281"/>
    </row>
    <row r="84" spans="1:19" s="355" customFormat="1" ht="48" customHeight="1">
      <c r="A84" s="198" t="s">
        <v>1076</v>
      </c>
      <c r="B84" s="242" t="s">
        <v>650</v>
      </c>
      <c r="C84" s="157"/>
      <c r="D84" s="157"/>
      <c r="E84" s="157"/>
      <c r="F84" s="446" t="s">
        <v>692</v>
      </c>
      <c r="G84" s="55" t="s">
        <v>649</v>
      </c>
      <c r="H84" s="55" t="s">
        <v>545</v>
      </c>
      <c r="I84" s="55" t="s">
        <v>237</v>
      </c>
      <c r="J84" s="55" t="s">
        <v>197</v>
      </c>
      <c r="K84" s="61" t="s">
        <v>648</v>
      </c>
      <c r="L84" s="246" t="s">
        <v>76</v>
      </c>
      <c r="M84" s="246" t="s">
        <v>64</v>
      </c>
      <c r="N84" s="383">
        <v>2263</v>
      </c>
      <c r="O84" s="383">
        <v>2144</v>
      </c>
      <c r="P84" s="383"/>
      <c r="Q84" s="383"/>
      <c r="R84" s="383"/>
      <c r="S84" s="406">
        <v>0</v>
      </c>
    </row>
    <row r="85" spans="1:19" s="355" customFormat="1" ht="72">
      <c r="A85" s="198"/>
      <c r="B85" s="242"/>
      <c r="C85" s="157"/>
      <c r="D85" s="157"/>
      <c r="E85" s="157"/>
      <c r="F85" s="446"/>
      <c r="G85" s="55"/>
      <c r="H85" s="55"/>
      <c r="I85" s="55" t="s">
        <v>1215</v>
      </c>
      <c r="J85" s="55" t="s">
        <v>197</v>
      </c>
      <c r="K85" s="61" t="s">
        <v>287</v>
      </c>
      <c r="L85" s="248" t="s">
        <v>76</v>
      </c>
      <c r="M85" s="248" t="s">
        <v>71</v>
      </c>
      <c r="N85" s="280">
        <v>0</v>
      </c>
      <c r="O85" s="280">
        <v>0</v>
      </c>
      <c r="P85" s="280">
        <v>2421.1</v>
      </c>
      <c r="Q85" s="280">
        <v>2421.1</v>
      </c>
      <c r="R85" s="280">
        <v>2421.1</v>
      </c>
      <c r="S85" s="281"/>
    </row>
    <row r="86" spans="1:19" s="355" customFormat="1" ht="54.75" customHeight="1">
      <c r="A86" s="494" t="s">
        <v>1077</v>
      </c>
      <c r="B86" s="242" t="s">
        <v>651</v>
      </c>
      <c r="C86" s="464"/>
      <c r="D86" s="464"/>
      <c r="E86" s="464"/>
      <c r="F86" s="55" t="s">
        <v>692</v>
      </c>
      <c r="G86" s="447" t="s">
        <v>652</v>
      </c>
      <c r="H86" s="446" t="s">
        <v>545</v>
      </c>
      <c r="I86" s="446" t="s">
        <v>887</v>
      </c>
      <c r="J86" s="446" t="s">
        <v>197</v>
      </c>
      <c r="K86" s="447" t="s">
        <v>890</v>
      </c>
      <c r="L86" s="246" t="s">
        <v>76</v>
      </c>
      <c r="M86" s="246" t="s">
        <v>64</v>
      </c>
      <c r="N86" s="383">
        <v>19485.9</v>
      </c>
      <c r="O86" s="383">
        <v>19485.9</v>
      </c>
      <c r="P86" s="383">
        <v>0</v>
      </c>
      <c r="Q86" s="383">
        <v>0</v>
      </c>
      <c r="R86" s="383">
        <v>0</v>
      </c>
      <c r="S86" s="284">
        <v>0</v>
      </c>
    </row>
    <row r="87" spans="1:19" s="355" customFormat="1" ht="54.75" customHeight="1">
      <c r="A87" s="494"/>
      <c r="B87" s="242"/>
      <c r="C87" s="464"/>
      <c r="D87" s="464"/>
      <c r="E87" s="464"/>
      <c r="F87" s="55"/>
      <c r="G87" s="447"/>
      <c r="H87" s="446"/>
      <c r="I87" s="446"/>
      <c r="J87" s="446"/>
      <c r="K87" s="447"/>
      <c r="L87" s="249" t="s">
        <v>76</v>
      </c>
      <c r="M87" s="249" t="s">
        <v>71</v>
      </c>
      <c r="N87" s="327">
        <v>0</v>
      </c>
      <c r="O87" s="327">
        <v>0</v>
      </c>
      <c r="P87" s="327">
        <v>27544.3</v>
      </c>
      <c r="Q87" s="327">
        <v>0</v>
      </c>
      <c r="R87" s="327">
        <v>0</v>
      </c>
      <c r="S87" s="284"/>
    </row>
    <row r="88" spans="1:19" s="355" customFormat="1" ht="106.5" customHeight="1">
      <c r="A88" s="198" t="s">
        <v>1078</v>
      </c>
      <c r="B88" s="242" t="s">
        <v>653</v>
      </c>
      <c r="C88" s="157"/>
      <c r="D88" s="157"/>
      <c r="E88" s="157"/>
      <c r="F88" s="55" t="s">
        <v>692</v>
      </c>
      <c r="G88" s="55" t="s">
        <v>654</v>
      </c>
      <c r="H88" s="55" t="s">
        <v>545</v>
      </c>
      <c r="I88" s="55" t="s">
        <v>888</v>
      </c>
      <c r="J88" s="55" t="s">
        <v>197</v>
      </c>
      <c r="K88" s="61" t="s">
        <v>889</v>
      </c>
      <c r="L88" s="252" t="s">
        <v>76</v>
      </c>
      <c r="M88" s="208" t="s">
        <v>58</v>
      </c>
      <c r="N88" s="363">
        <v>28537.8</v>
      </c>
      <c r="O88" s="363">
        <v>27966.8</v>
      </c>
      <c r="P88" s="363">
        <v>28679.7</v>
      </c>
      <c r="Q88" s="363">
        <v>0</v>
      </c>
      <c r="R88" s="363">
        <v>0</v>
      </c>
      <c r="S88" s="283">
        <v>0</v>
      </c>
    </row>
    <row r="89" spans="1:19" s="355" customFormat="1" ht="107.25" customHeight="1">
      <c r="A89" s="198" t="s">
        <v>1079</v>
      </c>
      <c r="B89" s="242" t="s">
        <v>655</v>
      </c>
      <c r="C89" s="157"/>
      <c r="D89" s="157"/>
      <c r="E89" s="157"/>
      <c r="F89" s="55" t="s">
        <v>692</v>
      </c>
      <c r="G89" s="61" t="s">
        <v>656</v>
      </c>
      <c r="H89" s="55" t="s">
        <v>545</v>
      </c>
      <c r="I89" s="55" t="s">
        <v>891</v>
      </c>
      <c r="J89" s="55" t="s">
        <v>197</v>
      </c>
      <c r="K89" s="61" t="s">
        <v>648</v>
      </c>
      <c r="L89" s="253" t="s">
        <v>76</v>
      </c>
      <c r="M89" s="254" t="s">
        <v>64</v>
      </c>
      <c r="N89" s="282">
        <v>15041.5</v>
      </c>
      <c r="O89" s="282">
        <v>15033.25721</v>
      </c>
      <c r="P89" s="282">
        <v>18413</v>
      </c>
      <c r="Q89" s="282">
        <v>0</v>
      </c>
      <c r="R89" s="282">
        <v>0</v>
      </c>
      <c r="S89" s="283">
        <v>0</v>
      </c>
    </row>
    <row r="90" spans="1:19" s="355" customFormat="1" ht="108" customHeight="1">
      <c r="A90" s="198" t="s">
        <v>1080</v>
      </c>
      <c r="B90" s="242" t="s">
        <v>657</v>
      </c>
      <c r="C90" s="55" t="s">
        <v>689</v>
      </c>
      <c r="D90" s="55" t="s">
        <v>658</v>
      </c>
      <c r="E90" s="55" t="s">
        <v>660</v>
      </c>
      <c r="F90" s="55" t="s">
        <v>691</v>
      </c>
      <c r="G90" s="61"/>
      <c r="H90" s="55" t="s">
        <v>296</v>
      </c>
      <c r="I90" s="55" t="s">
        <v>1011</v>
      </c>
      <c r="J90" s="55" t="s">
        <v>197</v>
      </c>
      <c r="K90" s="61" t="s">
        <v>893</v>
      </c>
      <c r="L90" s="253" t="s">
        <v>76</v>
      </c>
      <c r="M90" s="254" t="s">
        <v>64</v>
      </c>
      <c r="N90" s="282">
        <v>1563</v>
      </c>
      <c r="O90" s="282">
        <v>1562.4</v>
      </c>
      <c r="P90" s="282">
        <v>1407</v>
      </c>
      <c r="Q90" s="282">
        <v>0</v>
      </c>
      <c r="R90" s="282">
        <v>0</v>
      </c>
      <c r="S90" s="283">
        <v>0</v>
      </c>
    </row>
    <row r="91" spans="1:19" s="355" customFormat="1" ht="132.75" customHeight="1">
      <c r="A91" s="198" t="s">
        <v>1081</v>
      </c>
      <c r="B91" s="242" t="s">
        <v>659</v>
      </c>
      <c r="C91" s="55" t="s">
        <v>689</v>
      </c>
      <c r="D91" s="55" t="s">
        <v>658</v>
      </c>
      <c r="E91" s="55" t="s">
        <v>660</v>
      </c>
      <c r="F91" s="55" t="s">
        <v>686</v>
      </c>
      <c r="G91" s="61"/>
      <c r="H91" s="55" t="s">
        <v>296</v>
      </c>
      <c r="I91" s="55" t="s">
        <v>1012</v>
      </c>
      <c r="J91" s="55" t="s">
        <v>197</v>
      </c>
      <c r="K91" s="61" t="s">
        <v>296</v>
      </c>
      <c r="L91" s="253" t="s">
        <v>76</v>
      </c>
      <c r="M91" s="254" t="s">
        <v>64</v>
      </c>
      <c r="N91" s="282">
        <v>1032</v>
      </c>
      <c r="O91" s="282">
        <v>877.443</v>
      </c>
      <c r="P91" s="282">
        <v>1016</v>
      </c>
      <c r="Q91" s="282">
        <v>1016</v>
      </c>
      <c r="R91" s="282">
        <v>1016</v>
      </c>
      <c r="S91" s="283">
        <v>0</v>
      </c>
    </row>
    <row r="92" spans="1:19" s="355" customFormat="1" ht="63" customHeight="1">
      <c r="A92" s="239" t="s">
        <v>1082</v>
      </c>
      <c r="B92" s="242"/>
      <c r="C92" s="55" t="s">
        <v>689</v>
      </c>
      <c r="D92" s="55" t="s">
        <v>662</v>
      </c>
      <c r="E92" s="55" t="s">
        <v>660</v>
      </c>
      <c r="F92" s="446" t="s">
        <v>687</v>
      </c>
      <c r="G92" s="55" t="s">
        <v>232</v>
      </c>
      <c r="H92" s="55" t="s">
        <v>296</v>
      </c>
      <c r="I92" s="446" t="s">
        <v>892</v>
      </c>
      <c r="J92" s="55" t="s">
        <v>197</v>
      </c>
      <c r="K92" s="61" t="s">
        <v>871</v>
      </c>
      <c r="L92" s="247" t="s">
        <v>76</v>
      </c>
      <c r="M92" s="254" t="s">
        <v>64</v>
      </c>
      <c r="N92" s="282"/>
      <c r="O92" s="282"/>
      <c r="P92" s="282"/>
      <c r="Q92" s="282"/>
      <c r="R92" s="282"/>
      <c r="S92" s="282"/>
    </row>
    <row r="93" spans="1:19" s="355" customFormat="1" ht="63" customHeight="1">
      <c r="A93" s="239"/>
      <c r="B93" s="242" t="s">
        <v>1053</v>
      </c>
      <c r="C93" s="255"/>
      <c r="D93" s="55"/>
      <c r="E93" s="55"/>
      <c r="F93" s="446"/>
      <c r="G93" s="55"/>
      <c r="H93" s="55"/>
      <c r="I93" s="446"/>
      <c r="J93" s="55"/>
      <c r="K93" s="61"/>
      <c r="L93" s="244"/>
      <c r="M93" s="245"/>
      <c r="N93" s="382">
        <v>8</v>
      </c>
      <c r="O93" s="382">
        <v>8</v>
      </c>
      <c r="P93" s="382">
        <v>16</v>
      </c>
      <c r="Q93" s="382">
        <v>0</v>
      </c>
      <c r="R93" s="382">
        <v>0</v>
      </c>
      <c r="S93" s="382">
        <v>0</v>
      </c>
    </row>
    <row r="94" spans="1:19" s="355" customFormat="1" ht="73.5" customHeight="1">
      <c r="A94" s="198" t="s">
        <v>1083</v>
      </c>
      <c r="B94" s="242" t="s">
        <v>663</v>
      </c>
      <c r="C94" s="55" t="s">
        <v>689</v>
      </c>
      <c r="D94" s="55" t="s">
        <v>664</v>
      </c>
      <c r="E94" s="55" t="s">
        <v>626</v>
      </c>
      <c r="F94" s="446" t="s">
        <v>687</v>
      </c>
      <c r="G94" s="55" t="s">
        <v>419</v>
      </c>
      <c r="H94" s="55" t="s">
        <v>296</v>
      </c>
      <c r="I94" s="55" t="s">
        <v>972</v>
      </c>
      <c r="J94" s="55" t="s">
        <v>197</v>
      </c>
      <c r="K94" s="61" t="s">
        <v>894</v>
      </c>
      <c r="L94" s="253" t="s">
        <v>76</v>
      </c>
      <c r="M94" s="254" t="s">
        <v>64</v>
      </c>
      <c r="N94" s="282">
        <v>1168.5</v>
      </c>
      <c r="O94" s="282">
        <v>1168.5</v>
      </c>
      <c r="P94" s="282">
        <v>1156.6</v>
      </c>
      <c r="Q94" s="282">
        <v>1156.6</v>
      </c>
      <c r="R94" s="282">
        <v>1156.6</v>
      </c>
      <c r="S94" s="283">
        <v>0</v>
      </c>
    </row>
    <row r="95" spans="1:19" s="355" customFormat="1" ht="24">
      <c r="A95" s="198" t="s">
        <v>1084</v>
      </c>
      <c r="B95" s="242"/>
      <c r="C95" s="157"/>
      <c r="D95" s="157"/>
      <c r="E95" s="157"/>
      <c r="F95" s="446"/>
      <c r="G95" s="157"/>
      <c r="H95" s="157"/>
      <c r="I95" s="157"/>
      <c r="J95" s="157"/>
      <c r="K95" s="157"/>
      <c r="L95" s="253"/>
      <c r="M95" s="254"/>
      <c r="N95" s="282"/>
      <c r="O95" s="282"/>
      <c r="P95" s="282"/>
      <c r="Q95" s="282"/>
      <c r="R95" s="282"/>
      <c r="S95" s="283"/>
    </row>
    <row r="96" spans="1:19" s="355" customFormat="1" ht="12">
      <c r="A96" s="198" t="s">
        <v>246</v>
      </c>
      <c r="B96" s="242"/>
      <c r="C96" s="157"/>
      <c r="D96" s="157"/>
      <c r="E96" s="157"/>
      <c r="F96" s="446"/>
      <c r="G96" s="157"/>
      <c r="H96" s="157"/>
      <c r="I96" s="157"/>
      <c r="J96" s="157"/>
      <c r="K96" s="157"/>
      <c r="L96" s="253"/>
      <c r="M96" s="254"/>
      <c r="N96" s="282"/>
      <c r="O96" s="282"/>
      <c r="P96" s="282"/>
      <c r="Q96" s="282"/>
      <c r="R96" s="282"/>
      <c r="S96" s="283"/>
    </row>
    <row r="97" spans="1:19" s="355" customFormat="1" ht="48">
      <c r="A97" s="198"/>
      <c r="B97" s="242" t="s">
        <v>598</v>
      </c>
      <c r="C97" s="157"/>
      <c r="D97" s="157"/>
      <c r="E97" s="157"/>
      <c r="F97" s="157"/>
      <c r="G97" s="157"/>
      <c r="H97" s="157"/>
      <c r="I97" s="55" t="s">
        <v>800</v>
      </c>
      <c r="J97" s="55" t="s">
        <v>197</v>
      </c>
      <c r="K97" s="55" t="s">
        <v>801</v>
      </c>
      <c r="L97" s="253" t="s">
        <v>76</v>
      </c>
      <c r="M97" s="254" t="s">
        <v>64</v>
      </c>
      <c r="N97" s="282">
        <v>163</v>
      </c>
      <c r="O97" s="282">
        <v>163</v>
      </c>
      <c r="P97" s="282">
        <v>0</v>
      </c>
      <c r="Q97" s="282">
        <v>0</v>
      </c>
      <c r="R97" s="282">
        <v>0</v>
      </c>
      <c r="S97" s="283">
        <v>0</v>
      </c>
    </row>
    <row r="98" spans="1:19" s="355" customFormat="1" ht="48">
      <c r="A98" s="198"/>
      <c r="B98" s="242" t="s">
        <v>250</v>
      </c>
      <c r="C98" s="157"/>
      <c r="D98" s="157"/>
      <c r="E98" s="157"/>
      <c r="F98" s="157"/>
      <c r="G98" s="157"/>
      <c r="H98" s="157"/>
      <c r="I98" s="55" t="s">
        <v>851</v>
      </c>
      <c r="J98" s="55" t="s">
        <v>197</v>
      </c>
      <c r="K98" s="55" t="s">
        <v>834</v>
      </c>
      <c r="L98" s="253" t="s">
        <v>76</v>
      </c>
      <c r="M98" s="254" t="s">
        <v>64</v>
      </c>
      <c r="N98" s="282">
        <v>125</v>
      </c>
      <c r="O98" s="282">
        <v>125</v>
      </c>
      <c r="P98" s="282">
        <v>0</v>
      </c>
      <c r="Q98" s="282">
        <v>0</v>
      </c>
      <c r="R98" s="282">
        <v>0</v>
      </c>
      <c r="S98" s="283">
        <v>0</v>
      </c>
    </row>
    <row r="99" spans="1:19" s="355" customFormat="1" ht="60">
      <c r="A99" s="198"/>
      <c r="B99" s="242" t="s">
        <v>256</v>
      </c>
      <c r="C99" s="157"/>
      <c r="D99" s="157"/>
      <c r="E99" s="157"/>
      <c r="F99" s="157"/>
      <c r="G99" s="157"/>
      <c r="H99" s="157"/>
      <c r="I99" s="55" t="s">
        <v>853</v>
      </c>
      <c r="J99" s="55" t="s">
        <v>197</v>
      </c>
      <c r="K99" s="55" t="s">
        <v>852</v>
      </c>
      <c r="L99" s="253" t="s">
        <v>76</v>
      </c>
      <c r="M99" s="254" t="s">
        <v>64</v>
      </c>
      <c r="N99" s="282">
        <v>231.89</v>
      </c>
      <c r="O99" s="282">
        <v>217</v>
      </c>
      <c r="P99" s="282">
        <v>0</v>
      </c>
      <c r="Q99" s="282">
        <v>0</v>
      </c>
      <c r="R99" s="282">
        <v>0</v>
      </c>
      <c r="S99" s="283">
        <v>0</v>
      </c>
    </row>
    <row r="100" spans="1:19" s="355" customFormat="1" ht="60">
      <c r="A100" s="198"/>
      <c r="B100" s="242" t="s">
        <v>611</v>
      </c>
      <c r="C100" s="157"/>
      <c r="D100" s="157"/>
      <c r="E100" s="157"/>
      <c r="F100" s="157"/>
      <c r="G100" s="157"/>
      <c r="H100" s="157"/>
      <c r="I100" s="55" t="s">
        <v>865</v>
      </c>
      <c r="J100" s="55" t="s">
        <v>197</v>
      </c>
      <c r="K100" s="55" t="s">
        <v>866</v>
      </c>
      <c r="L100" s="253" t="s">
        <v>76</v>
      </c>
      <c r="M100" s="254" t="s">
        <v>64</v>
      </c>
      <c r="N100" s="282">
        <v>24.954</v>
      </c>
      <c r="O100" s="282">
        <v>24.954</v>
      </c>
      <c r="P100" s="282">
        <v>0</v>
      </c>
      <c r="Q100" s="282">
        <v>0</v>
      </c>
      <c r="R100" s="282">
        <v>0</v>
      </c>
      <c r="S100" s="283">
        <v>0</v>
      </c>
    </row>
    <row r="101" spans="1:19" s="355" customFormat="1" ht="60">
      <c r="A101" s="198"/>
      <c r="B101" s="242" t="s">
        <v>899</v>
      </c>
      <c r="C101" s="157"/>
      <c r="D101" s="157"/>
      <c r="E101" s="157"/>
      <c r="F101" s="157"/>
      <c r="G101" s="157"/>
      <c r="H101" s="157"/>
      <c r="I101" s="55" t="s">
        <v>902</v>
      </c>
      <c r="J101" s="55" t="s">
        <v>197</v>
      </c>
      <c r="K101" s="55" t="s">
        <v>903</v>
      </c>
      <c r="L101" s="253" t="s">
        <v>76</v>
      </c>
      <c r="M101" s="254" t="s">
        <v>64</v>
      </c>
      <c r="N101" s="282">
        <v>150</v>
      </c>
      <c r="O101" s="282">
        <v>150</v>
      </c>
      <c r="P101" s="282">
        <v>0</v>
      </c>
      <c r="Q101" s="282">
        <v>0</v>
      </c>
      <c r="R101" s="282">
        <v>0</v>
      </c>
      <c r="S101" s="283">
        <v>0</v>
      </c>
    </row>
    <row r="102" spans="1:19" s="355" customFormat="1" ht="60">
      <c r="A102" s="198"/>
      <c r="B102" s="242" t="s">
        <v>927</v>
      </c>
      <c r="C102" s="157"/>
      <c r="D102" s="157"/>
      <c r="E102" s="157"/>
      <c r="F102" s="157"/>
      <c r="G102" s="157"/>
      <c r="H102" s="157"/>
      <c r="I102" s="55" t="s">
        <v>928</v>
      </c>
      <c r="J102" s="55" t="s">
        <v>197</v>
      </c>
      <c r="K102" s="55" t="s">
        <v>929</v>
      </c>
      <c r="L102" s="253" t="s">
        <v>76</v>
      </c>
      <c r="M102" s="254" t="s">
        <v>64</v>
      </c>
      <c r="N102" s="282">
        <v>110</v>
      </c>
      <c r="O102" s="282">
        <v>110</v>
      </c>
      <c r="P102" s="282">
        <v>0</v>
      </c>
      <c r="Q102" s="282">
        <v>0</v>
      </c>
      <c r="R102" s="282">
        <v>0</v>
      </c>
      <c r="S102" s="283">
        <v>0</v>
      </c>
    </row>
    <row r="103" spans="1:19" s="355" customFormat="1" ht="60">
      <c r="A103" s="198"/>
      <c r="B103" s="242" t="s">
        <v>922</v>
      </c>
      <c r="C103" s="157"/>
      <c r="D103" s="157"/>
      <c r="E103" s="157"/>
      <c r="F103" s="157"/>
      <c r="G103" s="157"/>
      <c r="H103" s="157"/>
      <c r="I103" s="55" t="s">
        <v>930</v>
      </c>
      <c r="J103" s="55" t="s">
        <v>197</v>
      </c>
      <c r="K103" s="55" t="s">
        <v>931</v>
      </c>
      <c r="L103" s="253" t="s">
        <v>76</v>
      </c>
      <c r="M103" s="254" t="s">
        <v>64</v>
      </c>
      <c r="N103" s="282">
        <v>75</v>
      </c>
      <c r="O103" s="282">
        <v>75</v>
      </c>
      <c r="P103" s="282">
        <v>0</v>
      </c>
      <c r="Q103" s="282">
        <v>0</v>
      </c>
      <c r="R103" s="282">
        <v>0</v>
      </c>
      <c r="S103" s="283">
        <v>0</v>
      </c>
    </row>
    <row r="104" spans="1:19" s="355" customFormat="1" ht="60">
      <c r="A104" s="198"/>
      <c r="B104" s="242" t="s">
        <v>977</v>
      </c>
      <c r="C104" s="157"/>
      <c r="D104" s="157"/>
      <c r="E104" s="157"/>
      <c r="F104" s="157"/>
      <c r="G104" s="157"/>
      <c r="H104" s="157"/>
      <c r="I104" s="55" t="s">
        <v>1007</v>
      </c>
      <c r="J104" s="55" t="s">
        <v>197</v>
      </c>
      <c r="K104" s="55" t="s">
        <v>1008</v>
      </c>
      <c r="L104" s="253" t="s">
        <v>76</v>
      </c>
      <c r="M104" s="254" t="s">
        <v>64</v>
      </c>
      <c r="N104" s="282">
        <v>394.48</v>
      </c>
      <c r="O104" s="282">
        <v>394.48</v>
      </c>
      <c r="P104" s="282">
        <v>0</v>
      </c>
      <c r="Q104" s="282">
        <v>0</v>
      </c>
      <c r="R104" s="282">
        <v>0</v>
      </c>
      <c r="S104" s="283">
        <v>0</v>
      </c>
    </row>
    <row r="105" spans="1:19" s="355" customFormat="1" ht="60">
      <c r="A105" s="198"/>
      <c r="B105" s="242" t="s">
        <v>1004</v>
      </c>
      <c r="C105" s="157"/>
      <c r="D105" s="157"/>
      <c r="E105" s="157"/>
      <c r="F105" s="157"/>
      <c r="G105" s="157"/>
      <c r="H105" s="157"/>
      <c r="I105" s="55" t="s">
        <v>1006</v>
      </c>
      <c r="J105" s="55" t="s">
        <v>197</v>
      </c>
      <c r="K105" s="55" t="s">
        <v>1005</v>
      </c>
      <c r="L105" s="253" t="s">
        <v>76</v>
      </c>
      <c r="M105" s="254" t="s">
        <v>64</v>
      </c>
      <c r="N105" s="282">
        <v>20</v>
      </c>
      <c r="O105" s="282">
        <v>20</v>
      </c>
      <c r="P105" s="282">
        <v>0</v>
      </c>
      <c r="Q105" s="282">
        <v>0</v>
      </c>
      <c r="R105" s="282">
        <v>0</v>
      </c>
      <c r="S105" s="283">
        <v>0</v>
      </c>
    </row>
    <row r="106" spans="1:19" s="355" customFormat="1" ht="30" customHeight="1">
      <c r="A106" s="198"/>
      <c r="B106" s="242" t="s">
        <v>1030</v>
      </c>
      <c r="C106" s="157"/>
      <c r="D106" s="157"/>
      <c r="E106" s="157"/>
      <c r="F106" s="157"/>
      <c r="G106" s="157"/>
      <c r="H106" s="157"/>
      <c r="I106" s="446" t="s">
        <v>1038</v>
      </c>
      <c r="J106" s="446" t="s">
        <v>197</v>
      </c>
      <c r="K106" s="446" t="s">
        <v>1039</v>
      </c>
      <c r="L106" s="253" t="s">
        <v>76</v>
      </c>
      <c r="M106" s="254" t="s">
        <v>58</v>
      </c>
      <c r="N106" s="282">
        <v>60.3</v>
      </c>
      <c r="O106" s="282">
        <v>60.3</v>
      </c>
      <c r="P106" s="282">
        <v>0</v>
      </c>
      <c r="Q106" s="282">
        <v>0</v>
      </c>
      <c r="R106" s="282">
        <v>0</v>
      </c>
      <c r="S106" s="283">
        <v>0</v>
      </c>
    </row>
    <row r="107" spans="1:19" s="355" customFormat="1" ht="30" customHeight="1">
      <c r="A107" s="198"/>
      <c r="B107" s="242"/>
      <c r="C107" s="157"/>
      <c r="D107" s="157"/>
      <c r="E107" s="157"/>
      <c r="F107" s="157"/>
      <c r="G107" s="157"/>
      <c r="H107" s="157"/>
      <c r="I107" s="446"/>
      <c r="J107" s="446"/>
      <c r="K107" s="446"/>
      <c r="L107" s="253" t="s">
        <v>76</v>
      </c>
      <c r="M107" s="254" t="s">
        <v>64</v>
      </c>
      <c r="N107" s="282">
        <v>240.971</v>
      </c>
      <c r="O107" s="282">
        <v>240.971</v>
      </c>
      <c r="P107" s="282">
        <v>0</v>
      </c>
      <c r="Q107" s="282">
        <v>0</v>
      </c>
      <c r="R107" s="282">
        <v>0</v>
      </c>
      <c r="S107" s="283">
        <v>0</v>
      </c>
    </row>
    <row r="108" spans="1:19" s="355" customFormat="1" ht="30" customHeight="1">
      <c r="A108" s="198"/>
      <c r="B108" s="242" t="s">
        <v>1191</v>
      </c>
      <c r="C108" s="157"/>
      <c r="D108" s="157"/>
      <c r="E108" s="157"/>
      <c r="F108" s="157"/>
      <c r="G108" s="157"/>
      <c r="H108" s="157"/>
      <c r="I108" s="446" t="s">
        <v>1218</v>
      </c>
      <c r="J108" s="446" t="s">
        <v>197</v>
      </c>
      <c r="K108" s="446" t="s">
        <v>1219</v>
      </c>
      <c r="L108" s="247" t="s">
        <v>76</v>
      </c>
      <c r="M108" s="254" t="s">
        <v>64</v>
      </c>
      <c r="N108" s="282">
        <v>0</v>
      </c>
      <c r="O108" s="282">
        <v>0</v>
      </c>
      <c r="P108" s="282">
        <v>53.2</v>
      </c>
      <c r="Q108" s="282">
        <v>0</v>
      </c>
      <c r="R108" s="282">
        <v>0</v>
      </c>
      <c r="S108" s="283"/>
    </row>
    <row r="109" spans="1:19" s="355" customFormat="1" ht="30" customHeight="1">
      <c r="A109" s="198"/>
      <c r="B109" s="242"/>
      <c r="C109" s="157"/>
      <c r="D109" s="157"/>
      <c r="E109" s="157"/>
      <c r="F109" s="157"/>
      <c r="G109" s="157"/>
      <c r="H109" s="157"/>
      <c r="I109" s="446"/>
      <c r="J109" s="446"/>
      <c r="K109" s="446"/>
      <c r="L109" s="244" t="s">
        <v>76</v>
      </c>
      <c r="M109" s="245" t="s">
        <v>71</v>
      </c>
      <c r="N109" s="382">
        <v>0</v>
      </c>
      <c r="O109" s="382">
        <v>0</v>
      </c>
      <c r="P109" s="382">
        <v>99.76</v>
      </c>
      <c r="Q109" s="382">
        <v>0</v>
      </c>
      <c r="R109" s="382">
        <v>0</v>
      </c>
      <c r="S109" s="283"/>
    </row>
    <row r="110" spans="1:19" s="355" customFormat="1" ht="36.75" customHeight="1">
      <c r="A110" s="198" t="s">
        <v>1085</v>
      </c>
      <c r="B110" s="242"/>
      <c r="C110" s="446" t="s">
        <v>690</v>
      </c>
      <c r="D110" s="55" t="s">
        <v>622</v>
      </c>
      <c r="E110" s="55" t="s">
        <v>173</v>
      </c>
      <c r="F110" s="55" t="s">
        <v>688</v>
      </c>
      <c r="G110" s="55" t="s">
        <v>623</v>
      </c>
      <c r="H110" s="55" t="s">
        <v>447</v>
      </c>
      <c r="I110" s="55" t="s">
        <v>333</v>
      </c>
      <c r="J110" s="55" t="s">
        <v>334</v>
      </c>
      <c r="K110" s="55" t="s">
        <v>335</v>
      </c>
      <c r="L110" s="247" t="s">
        <v>76</v>
      </c>
      <c r="M110" s="254" t="s">
        <v>71</v>
      </c>
      <c r="N110" s="282">
        <v>0</v>
      </c>
      <c r="O110" s="282">
        <v>0</v>
      </c>
      <c r="P110" s="282">
        <v>392.3</v>
      </c>
      <c r="Q110" s="282">
        <v>479.3</v>
      </c>
      <c r="R110" s="282">
        <v>407</v>
      </c>
      <c r="S110" s="283">
        <v>407</v>
      </c>
    </row>
    <row r="111" spans="1:19" s="355" customFormat="1" ht="60">
      <c r="A111" s="198"/>
      <c r="B111" s="242"/>
      <c r="C111" s="446"/>
      <c r="D111" s="55"/>
      <c r="E111" s="55"/>
      <c r="F111" s="55"/>
      <c r="G111" s="55"/>
      <c r="H111" s="55"/>
      <c r="I111" s="55" t="s">
        <v>684</v>
      </c>
      <c r="J111" s="55" t="s">
        <v>197</v>
      </c>
      <c r="K111" s="61" t="s">
        <v>173</v>
      </c>
      <c r="L111" s="244"/>
      <c r="M111" s="245"/>
      <c r="N111" s="382"/>
      <c r="O111" s="382"/>
      <c r="P111" s="382"/>
      <c r="Q111" s="382"/>
      <c r="R111" s="382"/>
      <c r="S111" s="283"/>
    </row>
    <row r="112" spans="1:19" s="355" customFormat="1" ht="84">
      <c r="A112" s="198"/>
      <c r="B112" s="242"/>
      <c r="C112" s="446"/>
      <c r="D112" s="157"/>
      <c r="E112" s="157"/>
      <c r="F112" s="157"/>
      <c r="G112" s="157"/>
      <c r="H112" s="157"/>
      <c r="I112" s="157" t="s">
        <v>667</v>
      </c>
      <c r="J112" s="55" t="s">
        <v>197</v>
      </c>
      <c r="K112" s="256" t="s">
        <v>289</v>
      </c>
      <c r="L112" s="440" t="s">
        <v>76</v>
      </c>
      <c r="M112" s="441" t="s">
        <v>58</v>
      </c>
      <c r="N112" s="442">
        <v>428</v>
      </c>
      <c r="O112" s="442">
        <v>428</v>
      </c>
      <c r="P112" s="442">
        <v>1086.6</v>
      </c>
      <c r="Q112" s="442">
        <v>127</v>
      </c>
      <c r="R112" s="442">
        <v>5715</v>
      </c>
      <c r="S112" s="283">
        <v>5715</v>
      </c>
    </row>
    <row r="113" spans="1:19" s="355" customFormat="1" ht="156">
      <c r="A113" s="198"/>
      <c r="B113" s="242"/>
      <c r="C113" s="55"/>
      <c r="D113" s="157"/>
      <c r="E113" s="157"/>
      <c r="F113" s="157"/>
      <c r="G113" s="157"/>
      <c r="H113" s="157"/>
      <c r="I113" s="55" t="s">
        <v>1127</v>
      </c>
      <c r="J113" s="55" t="s">
        <v>197</v>
      </c>
      <c r="K113" s="55" t="s">
        <v>909</v>
      </c>
      <c r="L113" s="237"/>
      <c r="M113" s="237"/>
      <c r="N113" s="276"/>
      <c r="O113" s="276"/>
      <c r="P113" s="276"/>
      <c r="Q113" s="276"/>
      <c r="R113" s="276"/>
      <c r="S113" s="443"/>
    </row>
    <row r="114" spans="1:19" s="355" customFormat="1" ht="84" customHeight="1">
      <c r="A114" s="198"/>
      <c r="B114" s="242"/>
      <c r="C114" s="157"/>
      <c r="D114" s="157"/>
      <c r="E114" s="157"/>
      <c r="F114" s="157"/>
      <c r="G114" s="157"/>
      <c r="H114" s="157"/>
      <c r="I114" s="157" t="s">
        <v>666</v>
      </c>
      <c r="J114" s="157" t="s">
        <v>197</v>
      </c>
      <c r="K114" s="157" t="s">
        <v>1246</v>
      </c>
      <c r="L114" s="248" t="s">
        <v>76</v>
      </c>
      <c r="M114" s="248" t="s">
        <v>64</v>
      </c>
      <c r="N114" s="280">
        <v>4652.28219</v>
      </c>
      <c r="O114" s="280">
        <v>4339.26786</v>
      </c>
      <c r="P114" s="280">
        <v>706.1</v>
      </c>
      <c r="Q114" s="280">
        <v>894.8</v>
      </c>
      <c r="R114" s="280">
        <v>400</v>
      </c>
      <c r="S114" s="283">
        <v>400</v>
      </c>
    </row>
    <row r="115" spans="1:19" s="355" customFormat="1" ht="83.25" customHeight="1">
      <c r="A115" s="198" t="s">
        <v>1086</v>
      </c>
      <c r="B115" s="242"/>
      <c r="C115" s="55" t="s">
        <v>690</v>
      </c>
      <c r="D115" s="55" t="s">
        <v>622</v>
      </c>
      <c r="E115" s="55" t="s">
        <v>173</v>
      </c>
      <c r="F115" s="55" t="s">
        <v>688</v>
      </c>
      <c r="G115" s="55" t="s">
        <v>623</v>
      </c>
      <c r="H115" s="55" t="s">
        <v>447</v>
      </c>
      <c r="I115" s="55" t="s">
        <v>666</v>
      </c>
      <c r="J115" s="55" t="s">
        <v>665</v>
      </c>
      <c r="K115" s="157" t="s">
        <v>1246</v>
      </c>
      <c r="L115" s="246" t="s">
        <v>76</v>
      </c>
      <c r="M115" s="246" t="s">
        <v>64</v>
      </c>
      <c r="N115" s="383">
        <v>1338.7048</v>
      </c>
      <c r="O115" s="383">
        <v>838.7048</v>
      </c>
      <c r="P115" s="383">
        <f>29866.4+1400</f>
        <v>31266.4</v>
      </c>
      <c r="Q115" s="383">
        <v>10386.2</v>
      </c>
      <c r="R115" s="383">
        <v>6237</v>
      </c>
      <c r="S115" s="406">
        <v>6237</v>
      </c>
    </row>
    <row r="116" spans="1:19" s="355" customFormat="1" ht="48.75" customHeight="1">
      <c r="A116" s="198"/>
      <c r="B116" s="242"/>
      <c r="C116" s="55"/>
      <c r="D116" s="55"/>
      <c r="E116" s="55"/>
      <c r="F116" s="55"/>
      <c r="G116" s="55"/>
      <c r="H116" s="55"/>
      <c r="I116" s="55" t="s">
        <v>895</v>
      </c>
      <c r="J116" s="55" t="s">
        <v>197</v>
      </c>
      <c r="K116" s="61" t="s">
        <v>896</v>
      </c>
      <c r="L116" s="199"/>
      <c r="M116" s="199"/>
      <c r="N116" s="278"/>
      <c r="O116" s="278"/>
      <c r="P116" s="278"/>
      <c r="Q116" s="278"/>
      <c r="R116" s="278"/>
      <c r="S116" s="279"/>
    </row>
    <row r="117" spans="1:19" s="355" customFormat="1" ht="63.75" customHeight="1">
      <c r="A117" s="198"/>
      <c r="B117" s="242"/>
      <c r="C117" s="55"/>
      <c r="D117" s="55"/>
      <c r="E117" s="55"/>
      <c r="F117" s="55"/>
      <c r="G117" s="55"/>
      <c r="H117" s="55"/>
      <c r="I117" s="55" t="s">
        <v>684</v>
      </c>
      <c r="J117" s="55" t="s">
        <v>197</v>
      </c>
      <c r="K117" s="61" t="s">
        <v>897</v>
      </c>
      <c r="L117" s="199"/>
      <c r="M117" s="199"/>
      <c r="N117" s="278"/>
      <c r="O117" s="278"/>
      <c r="P117" s="278"/>
      <c r="Q117" s="278"/>
      <c r="R117" s="278"/>
      <c r="S117" s="279"/>
    </row>
    <row r="118" spans="1:19" s="355" customFormat="1" ht="59.25" customHeight="1">
      <c r="A118" s="198"/>
      <c r="B118" s="242"/>
      <c r="C118" s="55"/>
      <c r="D118" s="55"/>
      <c r="E118" s="55"/>
      <c r="F118" s="55"/>
      <c r="G118" s="55"/>
      <c r="H118" s="55"/>
      <c r="I118" s="55" t="s">
        <v>1223</v>
      </c>
      <c r="J118" s="55" t="s">
        <v>197</v>
      </c>
      <c r="K118" s="61" t="s">
        <v>1054</v>
      </c>
      <c r="L118" s="199"/>
      <c r="M118" s="199"/>
      <c r="N118" s="278"/>
      <c r="O118" s="278"/>
      <c r="P118" s="278"/>
      <c r="Q118" s="278"/>
      <c r="R118" s="278"/>
      <c r="S118" s="278"/>
    </row>
    <row r="119" spans="1:19" s="355" customFormat="1" ht="47.25" customHeight="1">
      <c r="A119" s="198"/>
      <c r="B119" s="242"/>
      <c r="C119" s="55"/>
      <c r="D119" s="55"/>
      <c r="E119" s="55"/>
      <c r="F119" s="55"/>
      <c r="G119" s="55"/>
      <c r="H119" s="55"/>
      <c r="I119" s="55" t="s">
        <v>1055</v>
      </c>
      <c r="J119" s="55"/>
      <c r="K119" s="61" t="s">
        <v>1129</v>
      </c>
      <c r="L119" s="309" t="s">
        <v>76</v>
      </c>
      <c r="M119" s="309" t="s">
        <v>71</v>
      </c>
      <c r="N119" s="334">
        <v>0</v>
      </c>
      <c r="O119" s="334">
        <v>0</v>
      </c>
      <c r="P119" s="334">
        <f>52.4+6.4</f>
        <v>58.8</v>
      </c>
      <c r="Q119" s="334">
        <v>52.4</v>
      </c>
      <c r="R119" s="334">
        <v>52.4</v>
      </c>
      <c r="S119" s="334">
        <v>52.4</v>
      </c>
    </row>
    <row r="120" spans="1:19" s="355" customFormat="1" ht="36" customHeight="1">
      <c r="A120" s="198"/>
      <c r="B120" s="242"/>
      <c r="C120" s="157"/>
      <c r="D120" s="157"/>
      <c r="E120" s="157"/>
      <c r="F120" s="157"/>
      <c r="G120" s="157"/>
      <c r="H120" s="157"/>
      <c r="I120" s="446" t="s">
        <v>668</v>
      </c>
      <c r="J120" s="55" t="s">
        <v>197</v>
      </c>
      <c r="K120" s="55" t="s">
        <v>321</v>
      </c>
      <c r="L120" s="252" t="s">
        <v>76</v>
      </c>
      <c r="M120" s="208" t="s">
        <v>58</v>
      </c>
      <c r="N120" s="363">
        <v>29.9956</v>
      </c>
      <c r="O120" s="363">
        <v>29.9956</v>
      </c>
      <c r="P120" s="363">
        <v>0</v>
      </c>
      <c r="Q120" s="363">
        <v>0</v>
      </c>
      <c r="R120" s="363">
        <v>0</v>
      </c>
      <c r="S120" s="405">
        <v>30</v>
      </c>
    </row>
    <row r="121" spans="1:19" s="355" customFormat="1" ht="12">
      <c r="A121" s="198"/>
      <c r="B121" s="242"/>
      <c r="C121" s="157"/>
      <c r="D121" s="157"/>
      <c r="E121" s="157"/>
      <c r="F121" s="157"/>
      <c r="G121" s="157"/>
      <c r="H121" s="157"/>
      <c r="I121" s="446"/>
      <c r="J121" s="55"/>
      <c r="K121" s="55"/>
      <c r="L121" s="309" t="s">
        <v>76</v>
      </c>
      <c r="M121" s="309" t="s">
        <v>71</v>
      </c>
      <c r="N121" s="334">
        <v>0</v>
      </c>
      <c r="O121" s="334">
        <v>0</v>
      </c>
      <c r="P121" s="334">
        <v>30</v>
      </c>
      <c r="Q121" s="334">
        <v>30</v>
      </c>
      <c r="R121" s="334">
        <v>30</v>
      </c>
      <c r="S121" s="423"/>
    </row>
    <row r="122" spans="1:19" s="355" customFormat="1" ht="72">
      <c r="A122" s="198" t="s">
        <v>1087</v>
      </c>
      <c r="B122" s="242" t="s">
        <v>1190</v>
      </c>
      <c r="C122" s="55"/>
      <c r="D122" s="55"/>
      <c r="E122" s="55"/>
      <c r="F122" s="55"/>
      <c r="G122" s="55"/>
      <c r="H122" s="55"/>
      <c r="I122" s="55" t="s">
        <v>1056</v>
      </c>
      <c r="J122" s="55" t="s">
        <v>197</v>
      </c>
      <c r="K122" s="61" t="s">
        <v>926</v>
      </c>
      <c r="L122" s="237" t="s">
        <v>76</v>
      </c>
      <c r="M122" s="237" t="s">
        <v>64</v>
      </c>
      <c r="N122" s="276">
        <v>8272</v>
      </c>
      <c r="O122" s="276">
        <v>7958.98486</v>
      </c>
      <c r="P122" s="276">
        <v>313.01433</v>
      </c>
      <c r="Q122" s="276">
        <v>0</v>
      </c>
      <c r="R122" s="276">
        <v>0</v>
      </c>
      <c r="S122" s="276">
        <v>0</v>
      </c>
    </row>
    <row r="123" spans="1:19" s="355" customFormat="1" ht="12">
      <c r="A123" s="198"/>
      <c r="B123" s="242"/>
      <c r="C123" s="55"/>
      <c r="D123" s="55"/>
      <c r="E123" s="55"/>
      <c r="F123" s="55"/>
      <c r="G123" s="55"/>
      <c r="H123" s="55"/>
      <c r="I123" s="55"/>
      <c r="J123" s="55"/>
      <c r="K123" s="61"/>
      <c r="L123" s="249"/>
      <c r="M123" s="249"/>
      <c r="N123" s="327"/>
      <c r="O123" s="327"/>
      <c r="P123" s="327">
        <v>313.01433</v>
      </c>
      <c r="Q123" s="327"/>
      <c r="R123" s="327"/>
      <c r="S123" s="276"/>
    </row>
    <row r="124" spans="1:19" s="355" customFormat="1" ht="108" customHeight="1">
      <c r="A124" s="198" t="s">
        <v>1088</v>
      </c>
      <c r="B124" s="242"/>
      <c r="C124" s="55"/>
      <c r="D124" s="55"/>
      <c r="E124" s="55"/>
      <c r="F124" s="55"/>
      <c r="G124" s="55"/>
      <c r="H124" s="55"/>
      <c r="I124" s="55" t="s">
        <v>1247</v>
      </c>
      <c r="J124" s="55"/>
      <c r="K124" s="61"/>
      <c r="L124" s="309" t="s">
        <v>76</v>
      </c>
      <c r="M124" s="309" t="s">
        <v>64</v>
      </c>
      <c r="N124" s="334">
        <v>500</v>
      </c>
      <c r="O124" s="334">
        <v>0</v>
      </c>
      <c r="P124" s="334">
        <v>2500</v>
      </c>
      <c r="Q124" s="334">
        <v>0</v>
      </c>
      <c r="R124" s="334">
        <v>0</v>
      </c>
      <c r="S124" s="334">
        <v>0</v>
      </c>
    </row>
    <row r="125" spans="1:19" s="356" customFormat="1" ht="72" customHeight="1" hidden="1">
      <c r="A125" s="502" t="s">
        <v>7</v>
      </c>
      <c r="B125" s="201" t="s">
        <v>77</v>
      </c>
      <c r="C125" s="63" t="s">
        <v>168</v>
      </c>
      <c r="D125" s="63" t="s">
        <v>693</v>
      </c>
      <c r="E125" s="63" t="s">
        <v>170</v>
      </c>
      <c r="F125" s="496" t="s">
        <v>266</v>
      </c>
      <c r="G125" s="97" t="s">
        <v>202</v>
      </c>
      <c r="H125" s="97" t="s">
        <v>267</v>
      </c>
      <c r="I125" s="55" t="s">
        <v>268</v>
      </c>
      <c r="J125" s="55" t="s">
        <v>197</v>
      </c>
      <c r="K125" s="61" t="s">
        <v>269</v>
      </c>
      <c r="L125" s="257" t="s">
        <v>66</v>
      </c>
      <c r="M125" s="257" t="s">
        <v>64</v>
      </c>
      <c r="N125" s="259">
        <v>0</v>
      </c>
      <c r="O125" s="259"/>
      <c r="P125" s="259">
        <v>0</v>
      </c>
      <c r="Q125" s="259"/>
      <c r="R125" s="259">
        <v>0</v>
      </c>
      <c r="S125" s="360"/>
    </row>
    <row r="126" spans="1:19" s="356" customFormat="1" ht="72" customHeight="1" hidden="1">
      <c r="A126" s="499"/>
      <c r="B126" s="201"/>
      <c r="C126" s="56"/>
      <c r="D126" s="56"/>
      <c r="E126" s="56"/>
      <c r="F126" s="497"/>
      <c r="G126" s="57"/>
      <c r="H126" s="58"/>
      <c r="I126" s="59" t="s">
        <v>270</v>
      </c>
      <c r="J126" s="59" t="s">
        <v>197</v>
      </c>
      <c r="K126" s="60" t="s">
        <v>271</v>
      </c>
      <c r="L126" s="230"/>
      <c r="M126" s="230"/>
      <c r="N126" s="232"/>
      <c r="O126" s="232"/>
      <c r="P126" s="232"/>
      <c r="Q126" s="232"/>
      <c r="R126" s="232"/>
      <c r="S126" s="233"/>
    </row>
    <row r="127" spans="1:19" s="356" customFormat="1" ht="71.25" customHeight="1">
      <c r="A127" s="162" t="s">
        <v>78</v>
      </c>
      <c r="B127" s="344" t="s">
        <v>79</v>
      </c>
      <c r="C127" s="187" t="s">
        <v>168</v>
      </c>
      <c r="D127" s="187" t="s">
        <v>264</v>
      </c>
      <c r="E127" s="187" t="s">
        <v>170</v>
      </c>
      <c r="F127" s="193" t="s">
        <v>57</v>
      </c>
      <c r="G127" s="193" t="s">
        <v>57</v>
      </c>
      <c r="H127" s="193" t="s">
        <v>57</v>
      </c>
      <c r="I127" s="187" t="s">
        <v>260</v>
      </c>
      <c r="J127" s="187" t="s">
        <v>261</v>
      </c>
      <c r="K127" s="187" t="s">
        <v>262</v>
      </c>
      <c r="L127" s="187" t="s">
        <v>63</v>
      </c>
      <c r="M127" s="187" t="s">
        <v>71</v>
      </c>
      <c r="N127" s="165">
        <v>1034.66667</v>
      </c>
      <c r="O127" s="165">
        <v>1034.66667</v>
      </c>
      <c r="P127" s="165">
        <f>4070+1770+100</f>
        <v>5940</v>
      </c>
      <c r="Q127" s="165">
        <v>3011.1</v>
      </c>
      <c r="R127" s="165">
        <v>9119.8</v>
      </c>
      <c r="S127" s="166">
        <v>9119.8</v>
      </c>
    </row>
    <row r="128" spans="1:19" s="356" customFormat="1" ht="71.25" customHeight="1" hidden="1">
      <c r="A128" s="162" t="s">
        <v>1003</v>
      </c>
      <c r="B128" s="344">
        <v>1018</v>
      </c>
      <c r="C128" s="187"/>
      <c r="D128" s="187"/>
      <c r="E128" s="187"/>
      <c r="F128" s="193"/>
      <c r="G128" s="193"/>
      <c r="H128" s="193"/>
      <c r="I128" s="187" t="s">
        <v>222</v>
      </c>
      <c r="J128" s="187"/>
      <c r="K128" s="187"/>
      <c r="L128" s="254" t="s">
        <v>65</v>
      </c>
      <c r="M128" s="254" t="s">
        <v>48</v>
      </c>
      <c r="N128" s="165">
        <v>0</v>
      </c>
      <c r="O128" s="165"/>
      <c r="P128" s="165">
        <v>0</v>
      </c>
      <c r="Q128" s="165"/>
      <c r="R128" s="165">
        <v>0</v>
      </c>
      <c r="S128" s="192">
        <v>0</v>
      </c>
    </row>
    <row r="129" spans="1:19" s="356" customFormat="1" ht="36.75" customHeight="1">
      <c r="A129" s="162" t="s">
        <v>80</v>
      </c>
      <c r="B129" s="344">
        <v>1020</v>
      </c>
      <c r="C129" s="163"/>
      <c r="D129" s="163"/>
      <c r="E129" s="163"/>
      <c r="F129" s="162"/>
      <c r="G129" s="162"/>
      <c r="H129" s="162"/>
      <c r="I129" s="163"/>
      <c r="J129" s="163"/>
      <c r="K129" s="163"/>
      <c r="L129" s="163"/>
      <c r="M129" s="163"/>
      <c r="N129" s="165">
        <f aca="true" t="shared" si="16" ref="N129:S129">SUM(N131:N135)</f>
        <v>3426.4</v>
      </c>
      <c r="O129" s="165">
        <f t="shared" si="16"/>
        <v>3421.74791</v>
      </c>
      <c r="P129" s="165">
        <f t="shared" si="16"/>
        <v>2799.746</v>
      </c>
      <c r="Q129" s="165">
        <f t="shared" si="16"/>
        <v>2791.3</v>
      </c>
      <c r="R129" s="165">
        <f t="shared" si="16"/>
        <v>2791.3</v>
      </c>
      <c r="S129" s="165">
        <f t="shared" si="16"/>
        <v>2791.3</v>
      </c>
    </row>
    <row r="130" spans="1:19" s="356" customFormat="1" ht="14.25" customHeight="1">
      <c r="A130" s="260" t="s">
        <v>246</v>
      </c>
      <c r="B130" s="234"/>
      <c r="C130" s="191"/>
      <c r="D130" s="191"/>
      <c r="E130" s="191"/>
      <c r="F130" s="234"/>
      <c r="G130" s="234"/>
      <c r="H130" s="234"/>
      <c r="I130" s="191"/>
      <c r="J130" s="191"/>
      <c r="K130" s="191"/>
      <c r="L130" s="261"/>
      <c r="M130" s="163"/>
      <c r="N130" s="165"/>
      <c r="O130" s="165"/>
      <c r="P130" s="165"/>
      <c r="Q130" s="165"/>
      <c r="R130" s="165"/>
      <c r="S130" s="166"/>
    </row>
    <row r="131" spans="1:19" s="355" customFormat="1" ht="38.25" customHeight="1">
      <c r="A131" s="460" t="s">
        <v>272</v>
      </c>
      <c r="B131" s="177"/>
      <c r="C131" s="479" t="s">
        <v>168</v>
      </c>
      <c r="D131" s="481" t="s">
        <v>274</v>
      </c>
      <c r="E131" s="481" t="s">
        <v>170</v>
      </c>
      <c r="F131" s="63"/>
      <c r="G131" s="63"/>
      <c r="H131" s="63"/>
      <c r="I131" s="63" t="s">
        <v>275</v>
      </c>
      <c r="J131" s="63" t="s">
        <v>197</v>
      </c>
      <c r="K131" s="70" t="s">
        <v>173</v>
      </c>
      <c r="L131" s="187" t="s">
        <v>58</v>
      </c>
      <c r="M131" s="187" t="s">
        <v>49</v>
      </c>
      <c r="N131" s="82">
        <v>2964.8</v>
      </c>
      <c r="O131" s="82">
        <v>2960.14791</v>
      </c>
      <c r="P131" s="82">
        <v>2799.746</v>
      </c>
      <c r="Q131" s="82">
        <v>2791.3</v>
      </c>
      <c r="R131" s="82">
        <v>2791.3</v>
      </c>
      <c r="S131" s="82">
        <v>2791.3</v>
      </c>
    </row>
    <row r="132" spans="1:19" s="355" customFormat="1" ht="60">
      <c r="A132" s="454"/>
      <c r="B132" s="177"/>
      <c r="C132" s="480"/>
      <c r="D132" s="461"/>
      <c r="E132" s="461"/>
      <c r="F132" s="63"/>
      <c r="G132" s="63"/>
      <c r="H132" s="63"/>
      <c r="I132" s="63" t="s">
        <v>1015</v>
      </c>
      <c r="J132" s="63" t="s">
        <v>197</v>
      </c>
      <c r="K132" s="70" t="s">
        <v>1009</v>
      </c>
      <c r="L132" s="195"/>
      <c r="M132" s="195"/>
      <c r="N132" s="197"/>
      <c r="O132" s="197"/>
      <c r="P132" s="197"/>
      <c r="Q132" s="197"/>
      <c r="R132" s="197"/>
      <c r="S132" s="197"/>
    </row>
    <row r="133" spans="1:19" s="355" customFormat="1" ht="48">
      <c r="A133" s="454"/>
      <c r="B133" s="177"/>
      <c r="C133" s="63" t="s">
        <v>180</v>
      </c>
      <c r="D133" s="63" t="s">
        <v>181</v>
      </c>
      <c r="E133" s="63" t="s">
        <v>182</v>
      </c>
      <c r="F133" s="461" t="s">
        <v>186</v>
      </c>
      <c r="G133" s="461" t="s">
        <v>178</v>
      </c>
      <c r="H133" s="461" t="s">
        <v>187</v>
      </c>
      <c r="I133" s="461" t="s">
        <v>199</v>
      </c>
      <c r="J133" s="461" t="s">
        <v>276</v>
      </c>
      <c r="K133" s="505" t="s">
        <v>200</v>
      </c>
      <c r="L133" s="195"/>
      <c r="M133" s="195"/>
      <c r="N133" s="197"/>
      <c r="O133" s="197"/>
      <c r="P133" s="197"/>
      <c r="Q133" s="197"/>
      <c r="R133" s="197"/>
      <c r="S133" s="197"/>
    </row>
    <row r="134" spans="1:19" s="355" customFormat="1" ht="119.25" customHeight="1">
      <c r="A134" s="454"/>
      <c r="B134" s="177"/>
      <c r="C134" s="63" t="s">
        <v>183</v>
      </c>
      <c r="D134" s="63" t="s">
        <v>184</v>
      </c>
      <c r="E134" s="63" t="s">
        <v>185</v>
      </c>
      <c r="F134" s="461"/>
      <c r="G134" s="461"/>
      <c r="H134" s="461"/>
      <c r="I134" s="461"/>
      <c r="J134" s="461"/>
      <c r="K134" s="505"/>
      <c r="L134" s="161"/>
      <c r="M134" s="161"/>
      <c r="N134" s="210"/>
      <c r="O134" s="210"/>
      <c r="P134" s="210"/>
      <c r="Q134" s="210"/>
      <c r="R134" s="210"/>
      <c r="S134" s="210"/>
    </row>
    <row r="135" spans="1:19" s="355" customFormat="1" ht="47.25" customHeight="1">
      <c r="A135" s="205"/>
      <c r="B135" s="177"/>
      <c r="C135" s="346"/>
      <c r="D135" s="346"/>
      <c r="E135" s="346"/>
      <c r="F135" s="63"/>
      <c r="G135" s="63"/>
      <c r="H135" s="63"/>
      <c r="I135" s="63" t="s">
        <v>237</v>
      </c>
      <c r="J135" s="63"/>
      <c r="K135" s="70"/>
      <c r="L135" s="456" t="s">
        <v>69</v>
      </c>
      <c r="M135" s="456" t="s">
        <v>58</v>
      </c>
      <c r="N135" s="465">
        <v>461.6</v>
      </c>
      <c r="O135" s="465">
        <v>461.6</v>
      </c>
      <c r="P135" s="467">
        <v>0</v>
      </c>
      <c r="Q135" s="467">
        <v>0</v>
      </c>
      <c r="R135" s="467">
        <v>0</v>
      </c>
      <c r="S135" s="492">
        <v>0</v>
      </c>
    </row>
    <row r="136" spans="1:19" s="355" customFormat="1" ht="120">
      <c r="A136" s="185" t="s">
        <v>273</v>
      </c>
      <c r="B136" s="215" t="s">
        <v>336</v>
      </c>
      <c r="C136" s="262"/>
      <c r="D136" s="262"/>
      <c r="E136" s="262"/>
      <c r="F136" s="84" t="s">
        <v>277</v>
      </c>
      <c r="G136" s="84" t="s">
        <v>278</v>
      </c>
      <c r="H136" s="84" t="s">
        <v>221</v>
      </c>
      <c r="I136" s="85" t="s">
        <v>1063</v>
      </c>
      <c r="J136" s="85" t="s">
        <v>197</v>
      </c>
      <c r="K136" s="86" t="s">
        <v>215</v>
      </c>
      <c r="L136" s="457"/>
      <c r="M136" s="457"/>
      <c r="N136" s="466"/>
      <c r="O136" s="466"/>
      <c r="P136" s="468"/>
      <c r="Q136" s="468"/>
      <c r="R136" s="468"/>
      <c r="S136" s="493"/>
    </row>
    <row r="137" spans="1:19" s="356" customFormat="1" ht="60">
      <c r="A137" s="162" t="s">
        <v>81</v>
      </c>
      <c r="B137" s="162" t="s">
        <v>82</v>
      </c>
      <c r="C137" s="162" t="s">
        <v>57</v>
      </c>
      <c r="D137" s="162" t="s">
        <v>57</v>
      </c>
      <c r="E137" s="162" t="s">
        <v>57</v>
      </c>
      <c r="F137" s="162" t="s">
        <v>57</v>
      </c>
      <c r="G137" s="162" t="s">
        <v>57</v>
      </c>
      <c r="H137" s="162" t="s">
        <v>57</v>
      </c>
      <c r="I137" s="162" t="s">
        <v>57</v>
      </c>
      <c r="J137" s="162" t="s">
        <v>57</v>
      </c>
      <c r="K137" s="162" t="s">
        <v>57</v>
      </c>
      <c r="L137" s="163" t="s">
        <v>69</v>
      </c>
      <c r="M137" s="163" t="s">
        <v>58</v>
      </c>
      <c r="N137" s="164">
        <f aca="true" t="shared" si="17" ref="N137:S137">SUM(N138:N154)</f>
        <v>65042.54275000001</v>
      </c>
      <c r="O137" s="164">
        <f t="shared" si="17"/>
        <v>64952.65095</v>
      </c>
      <c r="P137" s="164">
        <f t="shared" si="17"/>
        <v>109788.592</v>
      </c>
      <c r="Q137" s="164">
        <f t="shared" si="17"/>
        <v>47772.899999999994</v>
      </c>
      <c r="R137" s="164">
        <f t="shared" si="17"/>
        <v>52692.299999999996</v>
      </c>
      <c r="S137" s="164">
        <f t="shared" si="17"/>
        <v>50819.2</v>
      </c>
    </row>
    <row r="138" spans="1:19" s="355" customFormat="1" ht="110.25" customHeight="1">
      <c r="A138" s="193" t="s">
        <v>279</v>
      </c>
      <c r="B138" s="193"/>
      <c r="C138" s="187" t="s">
        <v>168</v>
      </c>
      <c r="D138" s="187" t="s">
        <v>280</v>
      </c>
      <c r="E138" s="187" t="s">
        <v>170</v>
      </c>
      <c r="F138" s="187" t="s">
        <v>281</v>
      </c>
      <c r="G138" s="187" t="s">
        <v>282</v>
      </c>
      <c r="H138" s="187" t="s">
        <v>283</v>
      </c>
      <c r="I138" s="6" t="s">
        <v>1013</v>
      </c>
      <c r="J138" s="6" t="s">
        <v>285</v>
      </c>
      <c r="K138" s="16" t="s">
        <v>205</v>
      </c>
      <c r="L138" s="187" t="s">
        <v>69</v>
      </c>
      <c r="M138" s="187" t="s">
        <v>58</v>
      </c>
      <c r="N138" s="82">
        <f>4069.9+3330+6265.4+1535+24425.9408-158.5</f>
        <v>39467.7408</v>
      </c>
      <c r="O138" s="82">
        <f>4069.9+3330+6265.4+1535+24425.9408-158.5</f>
        <v>39467.7408</v>
      </c>
      <c r="P138" s="82">
        <f>1035.3+866.5+1539+4238.2+3330+6265.4+1626.8+22177.4</f>
        <v>41078.600000000006</v>
      </c>
      <c r="Q138" s="82">
        <f>1035.3+844.9+1539+4138.7+3330+6265.4+1560+22177.4</f>
        <v>40890.7</v>
      </c>
      <c r="R138" s="82">
        <f>1035.3+844.9+1539+4138.7+3330+6265.4+1560+22177.4</f>
        <v>40890.7</v>
      </c>
      <c r="S138" s="82">
        <f>1035.3+844.9+1539+4138.7+3330+6265.4+1560+22177.4</f>
        <v>40890.7</v>
      </c>
    </row>
    <row r="139" spans="1:19" s="355" customFormat="1" ht="48" customHeight="1">
      <c r="A139" s="177"/>
      <c r="B139" s="177"/>
      <c r="C139" s="195" t="s">
        <v>1177</v>
      </c>
      <c r="D139" s="195" t="s">
        <v>197</v>
      </c>
      <c r="E139" s="195" t="s">
        <v>1178</v>
      </c>
      <c r="F139" s="195"/>
      <c r="G139" s="195"/>
      <c r="H139" s="195"/>
      <c r="I139" s="17" t="s">
        <v>1174</v>
      </c>
      <c r="J139" s="17" t="s">
        <v>197</v>
      </c>
      <c r="K139" s="18" t="s">
        <v>355</v>
      </c>
      <c r="L139" s="195"/>
      <c r="M139" s="195"/>
      <c r="N139" s="197"/>
      <c r="O139" s="197"/>
      <c r="P139" s="197"/>
      <c r="Q139" s="197"/>
      <c r="R139" s="197"/>
      <c r="S139" s="197"/>
    </row>
    <row r="140" spans="1:19" s="355" customFormat="1" ht="60">
      <c r="A140" s="177"/>
      <c r="B140" s="177"/>
      <c r="C140" s="195"/>
      <c r="D140" s="195"/>
      <c r="E140" s="195"/>
      <c r="F140" s="195"/>
      <c r="G140" s="195"/>
      <c r="H140" s="195"/>
      <c r="I140" s="17" t="s">
        <v>354</v>
      </c>
      <c r="J140" s="17" t="s">
        <v>197</v>
      </c>
      <c r="K140" s="18" t="s">
        <v>355</v>
      </c>
      <c r="L140" s="195"/>
      <c r="M140" s="195"/>
      <c r="N140" s="197"/>
      <c r="O140" s="197"/>
      <c r="P140" s="197"/>
      <c r="Q140" s="197"/>
      <c r="R140" s="197"/>
      <c r="S140" s="197"/>
    </row>
    <row r="141" spans="1:19" s="355" customFormat="1" ht="96">
      <c r="A141" s="177"/>
      <c r="B141" s="177"/>
      <c r="C141" s="195"/>
      <c r="D141" s="195"/>
      <c r="E141" s="195"/>
      <c r="F141" s="195"/>
      <c r="G141" s="195"/>
      <c r="H141" s="195"/>
      <c r="I141" s="17" t="s">
        <v>1175</v>
      </c>
      <c r="J141" s="17" t="s">
        <v>197</v>
      </c>
      <c r="K141" s="18" t="s">
        <v>355</v>
      </c>
      <c r="L141" s="195"/>
      <c r="M141" s="195"/>
      <c r="N141" s="197"/>
      <c r="O141" s="197"/>
      <c r="P141" s="197"/>
      <c r="Q141" s="197"/>
      <c r="R141" s="197"/>
      <c r="S141" s="197"/>
    </row>
    <row r="142" spans="1:19" s="355" customFormat="1" ht="97.5" customHeight="1">
      <c r="A142" s="177"/>
      <c r="B142" s="177"/>
      <c r="C142" s="195"/>
      <c r="D142" s="195"/>
      <c r="E142" s="195"/>
      <c r="F142" s="195"/>
      <c r="G142" s="195"/>
      <c r="H142" s="195"/>
      <c r="I142" s="17" t="s">
        <v>1176</v>
      </c>
      <c r="J142" s="17" t="s">
        <v>197</v>
      </c>
      <c r="K142" s="18" t="s">
        <v>896</v>
      </c>
      <c r="L142" s="195"/>
      <c r="M142" s="195"/>
      <c r="N142" s="197"/>
      <c r="O142" s="197"/>
      <c r="P142" s="197"/>
      <c r="Q142" s="197"/>
      <c r="R142" s="197"/>
      <c r="S142" s="197"/>
    </row>
    <row r="143" spans="1:19" s="355" customFormat="1" ht="71.25" customHeight="1">
      <c r="A143" s="177"/>
      <c r="B143" s="177"/>
      <c r="C143" s="195"/>
      <c r="D143" s="195"/>
      <c r="E143" s="195"/>
      <c r="F143" s="195"/>
      <c r="G143" s="195"/>
      <c r="H143" s="195"/>
      <c r="I143" s="17" t="s">
        <v>906</v>
      </c>
      <c r="J143" s="17" t="s">
        <v>197</v>
      </c>
      <c r="K143" s="18" t="s">
        <v>907</v>
      </c>
      <c r="L143" s="161"/>
      <c r="M143" s="161"/>
      <c r="N143" s="210"/>
      <c r="O143" s="210"/>
      <c r="P143" s="210"/>
      <c r="Q143" s="210"/>
      <c r="R143" s="210"/>
      <c r="S143" s="210"/>
    </row>
    <row r="144" spans="1:19" s="355" customFormat="1" ht="96" customHeight="1" hidden="1">
      <c r="A144" s="177"/>
      <c r="B144" s="177"/>
      <c r="C144" s="177"/>
      <c r="D144" s="177"/>
      <c r="E144" s="177"/>
      <c r="F144" s="177"/>
      <c r="G144" s="177"/>
      <c r="H144" s="177"/>
      <c r="I144" s="17" t="s">
        <v>286</v>
      </c>
      <c r="J144" s="17" t="s">
        <v>197</v>
      </c>
      <c r="K144" s="18" t="s">
        <v>287</v>
      </c>
      <c r="L144" s="187" t="s">
        <v>69</v>
      </c>
      <c r="M144" s="187" t="s">
        <v>58</v>
      </c>
      <c r="N144" s="82">
        <v>0</v>
      </c>
      <c r="O144" s="82">
        <v>0</v>
      </c>
      <c r="P144" s="82">
        <v>0</v>
      </c>
      <c r="Q144" s="82">
        <v>0</v>
      </c>
      <c r="R144" s="82">
        <v>0</v>
      </c>
      <c r="S144" s="83">
        <v>0</v>
      </c>
    </row>
    <row r="145" spans="1:19" s="355" customFormat="1" ht="48">
      <c r="A145" s="177"/>
      <c r="B145" s="177"/>
      <c r="C145" s="177"/>
      <c r="D145" s="177"/>
      <c r="E145" s="177"/>
      <c r="F145" s="177"/>
      <c r="G145" s="177"/>
      <c r="H145" s="177"/>
      <c r="I145" s="17" t="s">
        <v>861</v>
      </c>
      <c r="J145" s="17" t="s">
        <v>197</v>
      </c>
      <c r="K145" s="18" t="s">
        <v>862</v>
      </c>
      <c r="L145" s="187" t="s">
        <v>69</v>
      </c>
      <c r="M145" s="187" t="s">
        <v>58</v>
      </c>
      <c r="N145" s="82">
        <f>6597.10795-158.5</f>
        <v>6438.60795</v>
      </c>
      <c r="O145" s="82">
        <f>6597.10795-158.5</f>
        <v>6438.60795</v>
      </c>
      <c r="P145" s="82">
        <f>2855.892-81.7</f>
        <v>2774.192</v>
      </c>
      <c r="Q145" s="82">
        <f>4968.4-86.2</f>
        <v>4882.2</v>
      </c>
      <c r="R145" s="82">
        <f>9928.5-90.9</f>
        <v>9837.6</v>
      </c>
      <c r="S145" s="82">
        <v>9928.5</v>
      </c>
    </row>
    <row r="146" spans="1:19" s="355" customFormat="1" ht="60">
      <c r="A146" s="185"/>
      <c r="B146" s="177"/>
      <c r="C146" s="177"/>
      <c r="D146" s="177"/>
      <c r="E146" s="177"/>
      <c r="F146" s="177"/>
      <c r="G146" s="177"/>
      <c r="H146" s="177"/>
      <c r="I146" s="17" t="s">
        <v>288</v>
      </c>
      <c r="J146" s="17" t="s">
        <v>197</v>
      </c>
      <c r="K146" s="18" t="s">
        <v>289</v>
      </c>
      <c r="L146" s="195"/>
      <c r="M146" s="195"/>
      <c r="N146" s="197"/>
      <c r="O146" s="197"/>
      <c r="P146" s="197"/>
      <c r="Q146" s="197"/>
      <c r="R146" s="197"/>
      <c r="S146" s="197"/>
    </row>
    <row r="147" spans="1:19" s="355" customFormat="1" ht="48">
      <c r="A147" s="460" t="s">
        <v>290</v>
      </c>
      <c r="B147" s="177"/>
      <c r="C147" s="177"/>
      <c r="D147" s="177"/>
      <c r="E147" s="177"/>
      <c r="F147" s="177"/>
      <c r="G147" s="177"/>
      <c r="H147" s="177"/>
      <c r="I147" s="19" t="s">
        <v>237</v>
      </c>
      <c r="J147" s="19" t="s">
        <v>197</v>
      </c>
      <c r="K147" s="20" t="s">
        <v>205</v>
      </c>
      <c r="L147" s="161"/>
      <c r="M147" s="161"/>
      <c r="N147" s="210"/>
      <c r="O147" s="210"/>
      <c r="P147" s="210"/>
      <c r="Q147" s="210"/>
      <c r="R147" s="210"/>
      <c r="S147" s="210"/>
    </row>
    <row r="148" spans="1:19" s="355" customFormat="1" ht="120.75" customHeight="1">
      <c r="A148" s="455"/>
      <c r="B148" s="177">
        <v>684</v>
      </c>
      <c r="C148" s="177"/>
      <c r="D148" s="177"/>
      <c r="E148" s="177"/>
      <c r="F148" s="177"/>
      <c r="G148" s="177"/>
      <c r="H148" s="177"/>
      <c r="I148" s="21" t="s">
        <v>1063</v>
      </c>
      <c r="J148" s="21" t="s">
        <v>197</v>
      </c>
      <c r="K148" s="21" t="s">
        <v>731</v>
      </c>
      <c r="L148" s="187" t="s">
        <v>69</v>
      </c>
      <c r="M148" s="187" t="s">
        <v>58</v>
      </c>
      <c r="N148" s="82">
        <v>16941.9</v>
      </c>
      <c r="O148" s="82">
        <v>16941.9</v>
      </c>
      <c r="P148" s="82">
        <v>63907.8</v>
      </c>
      <c r="Q148" s="82">
        <v>0</v>
      </c>
      <c r="R148" s="82">
        <v>0</v>
      </c>
      <c r="S148" s="83">
        <v>0</v>
      </c>
    </row>
    <row r="149" spans="1:19" s="355" customFormat="1" ht="72.75" customHeight="1">
      <c r="A149" s="193" t="s">
        <v>292</v>
      </c>
      <c r="B149" s="177">
        <v>566</v>
      </c>
      <c r="C149" s="177"/>
      <c r="D149" s="177"/>
      <c r="E149" s="177"/>
      <c r="F149" s="510" t="s">
        <v>277</v>
      </c>
      <c r="G149" s="22" t="s">
        <v>284</v>
      </c>
      <c r="H149" s="22" t="s">
        <v>221</v>
      </c>
      <c r="I149" s="23" t="s">
        <v>1209</v>
      </c>
      <c r="J149" s="23" t="s">
        <v>197</v>
      </c>
      <c r="K149" s="23" t="s">
        <v>1210</v>
      </c>
      <c r="L149" s="187" t="s">
        <v>69</v>
      </c>
      <c r="M149" s="187" t="s">
        <v>58</v>
      </c>
      <c r="N149" s="82">
        <v>1658.3</v>
      </c>
      <c r="O149" s="82">
        <v>1568.4082</v>
      </c>
      <c r="P149" s="82">
        <v>2028</v>
      </c>
      <c r="Q149" s="82">
        <v>2000</v>
      </c>
      <c r="R149" s="82">
        <v>1964</v>
      </c>
      <c r="S149" s="83">
        <v>0</v>
      </c>
    </row>
    <row r="150" spans="1:19" s="355" customFormat="1" ht="58.5" customHeight="1">
      <c r="A150" s="193" t="s">
        <v>291</v>
      </c>
      <c r="B150" s="177">
        <v>721</v>
      </c>
      <c r="C150" s="177"/>
      <c r="D150" s="177"/>
      <c r="E150" s="177"/>
      <c r="F150" s="510"/>
      <c r="G150" s="177"/>
      <c r="H150" s="177"/>
      <c r="I150" s="17" t="s">
        <v>843</v>
      </c>
      <c r="J150" s="17" t="s">
        <v>197</v>
      </c>
      <c r="K150" s="18" t="s">
        <v>844</v>
      </c>
      <c r="L150" s="187" t="s">
        <v>69</v>
      </c>
      <c r="M150" s="187" t="s">
        <v>58</v>
      </c>
      <c r="N150" s="82">
        <v>148.025</v>
      </c>
      <c r="O150" s="82">
        <v>148.025</v>
      </c>
      <c r="P150" s="82">
        <v>0</v>
      </c>
      <c r="Q150" s="82">
        <v>0</v>
      </c>
      <c r="R150" s="82">
        <v>0</v>
      </c>
      <c r="S150" s="83">
        <v>0</v>
      </c>
    </row>
    <row r="151" spans="1:19" s="355" customFormat="1" ht="58.5" customHeight="1">
      <c r="A151" s="177"/>
      <c r="B151" s="177">
        <v>722</v>
      </c>
      <c r="C151" s="177"/>
      <c r="D151" s="177"/>
      <c r="E151" s="177"/>
      <c r="F151" s="177"/>
      <c r="G151" s="177"/>
      <c r="H151" s="177"/>
      <c r="I151" s="17" t="s">
        <v>849</v>
      </c>
      <c r="J151" s="17" t="s">
        <v>197</v>
      </c>
      <c r="K151" s="18" t="s">
        <v>850</v>
      </c>
      <c r="L151" s="187" t="s">
        <v>69</v>
      </c>
      <c r="M151" s="187" t="s">
        <v>58</v>
      </c>
      <c r="N151" s="82">
        <v>192.139</v>
      </c>
      <c r="O151" s="82">
        <v>192.139</v>
      </c>
      <c r="P151" s="82">
        <v>0</v>
      </c>
      <c r="Q151" s="82">
        <v>0</v>
      </c>
      <c r="R151" s="82">
        <v>0</v>
      </c>
      <c r="S151" s="83">
        <v>0</v>
      </c>
    </row>
    <row r="152" spans="1:19" s="355" customFormat="1" ht="49.5" customHeight="1">
      <c r="A152" s="177"/>
      <c r="B152" s="177">
        <v>714</v>
      </c>
      <c r="C152" s="177"/>
      <c r="D152" s="177"/>
      <c r="E152" s="177"/>
      <c r="F152" s="177"/>
      <c r="G152" s="177"/>
      <c r="H152" s="177"/>
      <c r="I152" s="153" t="s">
        <v>802</v>
      </c>
      <c r="J152" s="4" t="s">
        <v>197</v>
      </c>
      <c r="K152" s="154" t="s">
        <v>803</v>
      </c>
      <c r="L152" s="187" t="s">
        <v>69</v>
      </c>
      <c r="M152" s="187" t="s">
        <v>58</v>
      </c>
      <c r="N152" s="82">
        <v>75.86</v>
      </c>
      <c r="O152" s="82">
        <v>75.86</v>
      </c>
      <c r="P152" s="82">
        <v>0</v>
      </c>
      <c r="Q152" s="82">
        <v>0</v>
      </c>
      <c r="R152" s="82">
        <v>0</v>
      </c>
      <c r="S152" s="83">
        <v>0</v>
      </c>
    </row>
    <row r="153" spans="1:19" s="355" customFormat="1" ht="62.25" customHeight="1">
      <c r="A153" s="177"/>
      <c r="B153" s="177">
        <v>726</v>
      </c>
      <c r="C153" s="177"/>
      <c r="D153" s="177"/>
      <c r="E153" s="177"/>
      <c r="F153" s="177"/>
      <c r="G153" s="177"/>
      <c r="H153" s="177"/>
      <c r="I153" s="153" t="s">
        <v>935</v>
      </c>
      <c r="J153" s="4" t="s">
        <v>197</v>
      </c>
      <c r="K153" s="154" t="s">
        <v>936</v>
      </c>
      <c r="L153" s="187" t="s">
        <v>69</v>
      </c>
      <c r="M153" s="187" t="s">
        <v>58</v>
      </c>
      <c r="N153" s="82">
        <v>9.97</v>
      </c>
      <c r="O153" s="82">
        <v>9.97</v>
      </c>
      <c r="P153" s="82">
        <v>0</v>
      </c>
      <c r="Q153" s="82">
        <v>0</v>
      </c>
      <c r="R153" s="82">
        <v>0</v>
      </c>
      <c r="S153" s="83">
        <v>0</v>
      </c>
    </row>
    <row r="154" spans="1:19" s="355" customFormat="1" ht="62.25" customHeight="1">
      <c r="A154" s="177"/>
      <c r="B154" s="177">
        <v>727</v>
      </c>
      <c r="C154" s="177"/>
      <c r="D154" s="177"/>
      <c r="E154" s="177"/>
      <c r="F154" s="177"/>
      <c r="G154" s="177"/>
      <c r="H154" s="177"/>
      <c r="I154" s="153" t="s">
        <v>937</v>
      </c>
      <c r="J154" s="4" t="s">
        <v>197</v>
      </c>
      <c r="K154" s="154" t="s">
        <v>936</v>
      </c>
      <c r="L154" s="187" t="s">
        <v>69</v>
      </c>
      <c r="M154" s="187" t="s">
        <v>58</v>
      </c>
      <c r="N154" s="82">
        <v>110</v>
      </c>
      <c r="O154" s="82">
        <v>110</v>
      </c>
      <c r="P154" s="82">
        <v>0</v>
      </c>
      <c r="Q154" s="82">
        <v>0</v>
      </c>
      <c r="R154" s="82">
        <v>0</v>
      </c>
      <c r="S154" s="83">
        <v>0</v>
      </c>
    </row>
    <row r="155" spans="1:19" s="356" customFormat="1" ht="96">
      <c r="A155" s="162" t="s">
        <v>83</v>
      </c>
      <c r="B155" s="162" t="s">
        <v>84</v>
      </c>
      <c r="C155" s="187" t="s">
        <v>168</v>
      </c>
      <c r="D155" s="187" t="s">
        <v>694</v>
      </c>
      <c r="E155" s="187" t="s">
        <v>170</v>
      </c>
      <c r="F155" s="162" t="s">
        <v>57</v>
      </c>
      <c r="G155" s="162" t="s">
        <v>57</v>
      </c>
      <c r="H155" s="162" t="s">
        <v>57</v>
      </c>
      <c r="I155" s="13" t="s">
        <v>695</v>
      </c>
      <c r="J155" s="13" t="s">
        <v>419</v>
      </c>
      <c r="K155" s="13" t="s">
        <v>643</v>
      </c>
      <c r="L155" s="163" t="s">
        <v>69</v>
      </c>
      <c r="M155" s="163" t="s">
        <v>58</v>
      </c>
      <c r="N155" s="165">
        <v>158.5</v>
      </c>
      <c r="O155" s="165">
        <v>158.5</v>
      </c>
      <c r="P155" s="165">
        <v>81.7</v>
      </c>
      <c r="Q155" s="165">
        <v>86.2</v>
      </c>
      <c r="R155" s="165">
        <v>90.9</v>
      </c>
      <c r="S155" s="166"/>
    </row>
    <row r="156" spans="1:19" s="356" customFormat="1" ht="120">
      <c r="A156" s="162" t="s">
        <v>8</v>
      </c>
      <c r="B156" s="162" t="s">
        <v>85</v>
      </c>
      <c r="C156" s="162"/>
      <c r="D156" s="162"/>
      <c r="E156" s="162"/>
      <c r="F156" s="162"/>
      <c r="G156" s="162"/>
      <c r="H156" s="162"/>
      <c r="I156" s="162"/>
      <c r="J156" s="162"/>
      <c r="K156" s="162"/>
      <c r="L156" s="163"/>
      <c r="M156" s="163"/>
      <c r="N156" s="164">
        <f aca="true" t="shared" si="18" ref="N156:S156">SUM(N158:N160)</f>
        <v>3338.9629999999997</v>
      </c>
      <c r="O156" s="164">
        <f t="shared" si="18"/>
        <v>3330.3940000000002</v>
      </c>
      <c r="P156" s="164">
        <f t="shared" si="18"/>
        <v>1771.9279999999999</v>
      </c>
      <c r="Q156" s="164">
        <f t="shared" si="18"/>
        <v>1488.5</v>
      </c>
      <c r="R156" s="164">
        <f t="shared" si="18"/>
        <v>779</v>
      </c>
      <c r="S156" s="164">
        <f t="shared" si="18"/>
        <v>779</v>
      </c>
    </row>
    <row r="157" spans="1:19" s="356" customFormat="1" ht="12">
      <c r="A157" s="162" t="s">
        <v>246</v>
      </c>
      <c r="B157" s="162"/>
      <c r="C157" s="162"/>
      <c r="D157" s="162"/>
      <c r="E157" s="162"/>
      <c r="F157" s="162"/>
      <c r="G157" s="162"/>
      <c r="H157" s="162"/>
      <c r="I157" s="162"/>
      <c r="J157" s="162"/>
      <c r="K157" s="162"/>
      <c r="L157" s="261"/>
      <c r="M157" s="163"/>
      <c r="N157" s="164"/>
      <c r="O157" s="164"/>
      <c r="P157" s="164"/>
      <c r="Q157" s="164"/>
      <c r="R157" s="164"/>
      <c r="S157" s="164"/>
    </row>
    <row r="158" spans="1:19" s="357" customFormat="1" ht="12">
      <c r="A158" s="265"/>
      <c r="B158" s="265"/>
      <c r="C158" s="265"/>
      <c r="D158" s="265"/>
      <c r="E158" s="265"/>
      <c r="F158" s="265"/>
      <c r="G158" s="265"/>
      <c r="H158" s="265"/>
      <c r="I158" s="265"/>
      <c r="J158" s="265"/>
      <c r="K158" s="265"/>
      <c r="L158" s="266" t="s">
        <v>65</v>
      </c>
      <c r="M158" s="267" t="s">
        <v>63</v>
      </c>
      <c r="N158" s="380">
        <f aca="true" t="shared" si="19" ref="N158:S158">N161</f>
        <v>179.81</v>
      </c>
      <c r="O158" s="380">
        <f t="shared" si="19"/>
        <v>171.241</v>
      </c>
      <c r="P158" s="380">
        <f t="shared" si="19"/>
        <v>349</v>
      </c>
      <c r="Q158" s="380">
        <f t="shared" si="19"/>
        <v>349</v>
      </c>
      <c r="R158" s="380">
        <f t="shared" si="19"/>
        <v>349</v>
      </c>
      <c r="S158" s="380">
        <f t="shared" si="19"/>
        <v>349</v>
      </c>
    </row>
    <row r="159" spans="1:19" s="357" customFormat="1" ht="12">
      <c r="A159" s="265"/>
      <c r="B159" s="265"/>
      <c r="C159" s="265"/>
      <c r="D159" s="265"/>
      <c r="E159" s="265"/>
      <c r="F159" s="265"/>
      <c r="G159" s="265"/>
      <c r="H159" s="265"/>
      <c r="I159" s="265"/>
      <c r="J159" s="265"/>
      <c r="K159" s="265"/>
      <c r="L159" s="266" t="s">
        <v>65</v>
      </c>
      <c r="M159" s="267" t="s">
        <v>48</v>
      </c>
      <c r="N159" s="380">
        <f aca="true" t="shared" si="20" ref="N159:S159">SUM(N163:N170)</f>
        <v>2433.917</v>
      </c>
      <c r="O159" s="380">
        <f t="shared" si="20"/>
        <v>2433.917</v>
      </c>
      <c r="P159" s="380">
        <f t="shared" si="20"/>
        <v>689.5</v>
      </c>
      <c r="Q159" s="380">
        <f t="shared" si="20"/>
        <v>739.5</v>
      </c>
      <c r="R159" s="380">
        <f t="shared" si="20"/>
        <v>0</v>
      </c>
      <c r="S159" s="380">
        <f t="shared" si="20"/>
        <v>0</v>
      </c>
    </row>
    <row r="160" spans="1:19" s="357" customFormat="1" ht="12">
      <c r="A160" s="265"/>
      <c r="B160" s="265"/>
      <c r="C160" s="265"/>
      <c r="D160" s="265"/>
      <c r="E160" s="265"/>
      <c r="F160" s="265"/>
      <c r="G160" s="265"/>
      <c r="H160" s="265"/>
      <c r="I160" s="265"/>
      <c r="J160" s="265"/>
      <c r="K160" s="265"/>
      <c r="L160" s="266" t="s">
        <v>46</v>
      </c>
      <c r="M160" s="267" t="s">
        <v>71</v>
      </c>
      <c r="N160" s="380">
        <f aca="true" t="shared" si="21" ref="N160:S160">SUM(N171:N173)</f>
        <v>725.2360000000001</v>
      </c>
      <c r="O160" s="380">
        <f t="shared" si="21"/>
        <v>725.2360000000001</v>
      </c>
      <c r="P160" s="380">
        <f t="shared" si="21"/>
        <v>733.428</v>
      </c>
      <c r="Q160" s="380">
        <f t="shared" si="21"/>
        <v>400</v>
      </c>
      <c r="R160" s="380">
        <f t="shared" si="21"/>
        <v>430</v>
      </c>
      <c r="S160" s="380">
        <f t="shared" si="21"/>
        <v>430</v>
      </c>
    </row>
    <row r="161" spans="1:19" s="355" customFormat="1" ht="84">
      <c r="A161" s="193" t="s">
        <v>293</v>
      </c>
      <c r="B161" s="193"/>
      <c r="C161" s="25" t="s">
        <v>168</v>
      </c>
      <c r="D161" s="25" t="s">
        <v>294</v>
      </c>
      <c r="E161" s="25" t="s">
        <v>170</v>
      </c>
      <c r="F161" s="193" t="s">
        <v>57</v>
      </c>
      <c r="G161" s="193" t="s">
        <v>57</v>
      </c>
      <c r="H161" s="193" t="s">
        <v>57</v>
      </c>
      <c r="I161" s="6" t="s">
        <v>295</v>
      </c>
      <c r="J161" s="6" t="s">
        <v>197</v>
      </c>
      <c r="K161" s="6" t="s">
        <v>296</v>
      </c>
      <c r="L161" s="473" t="s">
        <v>65</v>
      </c>
      <c r="M161" s="470" t="s">
        <v>63</v>
      </c>
      <c r="N161" s="364">
        <v>179.81</v>
      </c>
      <c r="O161" s="364">
        <v>171.241</v>
      </c>
      <c r="P161" s="364">
        <v>349</v>
      </c>
      <c r="Q161" s="364">
        <v>349</v>
      </c>
      <c r="R161" s="364">
        <v>349</v>
      </c>
      <c r="S161" s="364">
        <v>349</v>
      </c>
    </row>
    <row r="162" spans="1:19" s="355" customFormat="1" ht="96" customHeight="1">
      <c r="A162" s="177"/>
      <c r="B162" s="177"/>
      <c r="C162" s="5"/>
      <c r="D162" s="5"/>
      <c r="E162" s="5"/>
      <c r="F162" s="177"/>
      <c r="G162" s="177"/>
      <c r="H162" s="177"/>
      <c r="I162" s="17" t="s">
        <v>1016</v>
      </c>
      <c r="J162" s="17" t="s">
        <v>197</v>
      </c>
      <c r="K162" s="17" t="s">
        <v>867</v>
      </c>
      <c r="L162" s="503"/>
      <c r="M162" s="471"/>
      <c r="N162" s="384"/>
      <c r="O162" s="384"/>
      <c r="P162" s="384"/>
      <c r="Q162" s="384"/>
      <c r="R162" s="384"/>
      <c r="S162" s="384"/>
    </row>
    <row r="163" spans="1:19" s="355" customFormat="1" ht="131.25" customHeight="1">
      <c r="A163" s="177" t="s">
        <v>1089</v>
      </c>
      <c r="B163" s="177"/>
      <c r="C163" s="177"/>
      <c r="D163" s="177"/>
      <c r="E163" s="177"/>
      <c r="F163" s="177"/>
      <c r="G163" s="177"/>
      <c r="H163" s="177"/>
      <c r="I163" s="5" t="s">
        <v>297</v>
      </c>
      <c r="J163" s="5" t="s">
        <v>197</v>
      </c>
      <c r="K163" s="5" t="s">
        <v>298</v>
      </c>
      <c r="L163" s="252" t="s">
        <v>65</v>
      </c>
      <c r="M163" s="195">
        <v>12</v>
      </c>
      <c r="N163" s="384">
        <v>250</v>
      </c>
      <c r="O163" s="384">
        <v>250</v>
      </c>
      <c r="P163" s="384">
        <v>689.5</v>
      </c>
      <c r="Q163" s="384">
        <v>739.5</v>
      </c>
      <c r="R163" s="384">
        <v>0</v>
      </c>
      <c r="S163" s="384">
        <v>0</v>
      </c>
    </row>
    <row r="164" spans="1:19" s="355" customFormat="1" ht="98.25" customHeight="1">
      <c r="A164" s="177"/>
      <c r="B164" s="177"/>
      <c r="C164" s="504"/>
      <c r="D164" s="504"/>
      <c r="E164" s="504"/>
      <c r="F164" s="504" t="s">
        <v>299</v>
      </c>
      <c r="G164" s="449" t="s">
        <v>197</v>
      </c>
      <c r="H164" s="504" t="s">
        <v>300</v>
      </c>
      <c r="I164" s="5" t="s">
        <v>301</v>
      </c>
      <c r="J164" s="5" t="s">
        <v>197</v>
      </c>
      <c r="K164" s="5" t="s">
        <v>302</v>
      </c>
      <c r="L164" s="207"/>
      <c r="M164" s="195"/>
      <c r="N164" s="384"/>
      <c r="O164" s="384"/>
      <c r="P164" s="384"/>
      <c r="Q164" s="384"/>
      <c r="R164" s="384"/>
      <c r="S164" s="384"/>
    </row>
    <row r="165" spans="1:19" s="355" customFormat="1" ht="96">
      <c r="A165" s="177"/>
      <c r="B165" s="177"/>
      <c r="C165" s="504"/>
      <c r="D165" s="504"/>
      <c r="E165" s="504"/>
      <c r="F165" s="504"/>
      <c r="G165" s="449"/>
      <c r="H165" s="504"/>
      <c r="I165" s="5" t="s">
        <v>303</v>
      </c>
      <c r="J165" s="5" t="s">
        <v>197</v>
      </c>
      <c r="K165" s="5" t="s">
        <v>302</v>
      </c>
      <c r="L165" s="207"/>
      <c r="M165" s="195"/>
      <c r="N165" s="384"/>
      <c r="O165" s="384"/>
      <c r="P165" s="384"/>
      <c r="Q165" s="384"/>
      <c r="R165" s="384"/>
      <c r="S165" s="384"/>
    </row>
    <row r="166" spans="1:19" s="355" customFormat="1" ht="72">
      <c r="A166" s="177"/>
      <c r="B166" s="177"/>
      <c r="C166" s="504"/>
      <c r="D166" s="504"/>
      <c r="E166" s="504"/>
      <c r="F166" s="504"/>
      <c r="G166" s="449"/>
      <c r="H166" s="504"/>
      <c r="I166" s="5" t="s">
        <v>304</v>
      </c>
      <c r="J166" s="5" t="s">
        <v>197</v>
      </c>
      <c r="K166" s="5" t="s">
        <v>305</v>
      </c>
      <c r="L166" s="207"/>
      <c r="M166" s="195"/>
      <c r="N166" s="384"/>
      <c r="O166" s="384"/>
      <c r="P166" s="384"/>
      <c r="Q166" s="384"/>
      <c r="R166" s="384"/>
      <c r="S166" s="384"/>
    </row>
    <row r="167" spans="1:19" s="355" customFormat="1" ht="60">
      <c r="A167" s="177"/>
      <c r="B167" s="177"/>
      <c r="C167" s="504"/>
      <c r="D167" s="504"/>
      <c r="E167" s="504"/>
      <c r="F167" s="504"/>
      <c r="G167" s="449"/>
      <c r="H167" s="504"/>
      <c r="I167" s="5" t="s">
        <v>815</v>
      </c>
      <c r="J167" s="5" t="s">
        <v>197</v>
      </c>
      <c r="K167" s="5" t="s">
        <v>200</v>
      </c>
      <c r="L167" s="207"/>
      <c r="M167" s="195"/>
      <c r="N167" s="384"/>
      <c r="O167" s="384"/>
      <c r="P167" s="384"/>
      <c r="Q167" s="384"/>
      <c r="R167" s="384"/>
      <c r="S167" s="384"/>
    </row>
    <row r="168" spans="1:19" s="355" customFormat="1" ht="96">
      <c r="A168" s="177"/>
      <c r="B168" s="268" t="s">
        <v>816</v>
      </c>
      <c r="C168" s="5"/>
      <c r="D168" s="5"/>
      <c r="E168" s="5"/>
      <c r="F168" s="5"/>
      <c r="G168" s="5"/>
      <c r="H168" s="5"/>
      <c r="I168" s="5" t="s">
        <v>817</v>
      </c>
      <c r="J168" s="5" t="s">
        <v>197</v>
      </c>
      <c r="K168" s="5" t="s">
        <v>818</v>
      </c>
      <c r="L168" s="195"/>
      <c r="M168" s="195"/>
      <c r="N168" s="384">
        <v>758.917</v>
      </c>
      <c r="O168" s="384">
        <v>758.917</v>
      </c>
      <c r="P168" s="384">
        <v>0</v>
      </c>
      <c r="Q168" s="384">
        <v>0</v>
      </c>
      <c r="R168" s="384">
        <v>0</v>
      </c>
      <c r="S168" s="384">
        <v>0</v>
      </c>
    </row>
    <row r="169" spans="1:19" s="355" customFormat="1" ht="37.5" customHeight="1">
      <c r="A169" s="177"/>
      <c r="B169" s="268" t="s">
        <v>1000</v>
      </c>
      <c r="C169" s="5"/>
      <c r="D169" s="5"/>
      <c r="E169" s="5"/>
      <c r="F169" s="5"/>
      <c r="G169" s="5"/>
      <c r="H169" s="5"/>
      <c r="I169" s="504" t="s">
        <v>1017</v>
      </c>
      <c r="J169" s="504" t="s">
        <v>197</v>
      </c>
      <c r="K169" s="504" t="s">
        <v>1002</v>
      </c>
      <c r="L169" s="195"/>
      <c r="M169" s="195"/>
      <c r="N169" s="384">
        <v>446.221</v>
      </c>
      <c r="O169" s="384">
        <v>446.221</v>
      </c>
      <c r="P169" s="384">
        <v>0</v>
      </c>
      <c r="Q169" s="384">
        <v>0</v>
      </c>
      <c r="R169" s="384">
        <v>0</v>
      </c>
      <c r="S169" s="384">
        <v>0</v>
      </c>
    </row>
    <row r="170" spans="1:19" s="355" customFormat="1" ht="37.5" customHeight="1">
      <c r="A170" s="177"/>
      <c r="B170" s="268" t="s">
        <v>1001</v>
      </c>
      <c r="C170" s="5"/>
      <c r="D170" s="5"/>
      <c r="E170" s="5"/>
      <c r="F170" s="5"/>
      <c r="G170" s="5"/>
      <c r="H170" s="5"/>
      <c r="I170" s="504"/>
      <c r="J170" s="504"/>
      <c r="K170" s="504"/>
      <c r="L170" s="161"/>
      <c r="M170" s="161"/>
      <c r="N170" s="385">
        <v>978.779</v>
      </c>
      <c r="O170" s="385">
        <v>978.779</v>
      </c>
      <c r="P170" s="385">
        <v>0</v>
      </c>
      <c r="Q170" s="385">
        <v>0</v>
      </c>
      <c r="R170" s="385">
        <v>0</v>
      </c>
      <c r="S170" s="385">
        <v>0</v>
      </c>
    </row>
    <row r="171" spans="1:19" s="355" customFormat="1" ht="72">
      <c r="A171" s="177" t="s">
        <v>1090</v>
      </c>
      <c r="B171" s="177"/>
      <c r="C171" s="485" t="s">
        <v>306</v>
      </c>
      <c r="D171" s="511" t="s">
        <v>307</v>
      </c>
      <c r="E171" s="485" t="s">
        <v>308</v>
      </c>
      <c r="F171" s="485" t="s">
        <v>309</v>
      </c>
      <c r="G171" s="485" t="s">
        <v>310</v>
      </c>
      <c r="H171" s="511" t="s">
        <v>311</v>
      </c>
      <c r="I171" s="4" t="s">
        <v>312</v>
      </c>
      <c r="J171" s="4" t="s">
        <v>197</v>
      </c>
      <c r="K171" s="26" t="s">
        <v>313</v>
      </c>
      <c r="L171" s="269" t="s">
        <v>46</v>
      </c>
      <c r="M171" s="187" t="s">
        <v>71</v>
      </c>
      <c r="N171" s="364">
        <v>129.116</v>
      </c>
      <c r="O171" s="364">
        <v>129.116</v>
      </c>
      <c r="P171" s="364">
        <v>200</v>
      </c>
      <c r="Q171" s="364">
        <v>400</v>
      </c>
      <c r="R171" s="364">
        <v>430</v>
      </c>
      <c r="S171" s="364">
        <v>430</v>
      </c>
    </row>
    <row r="172" spans="1:19" s="355" customFormat="1" ht="37.5" customHeight="1">
      <c r="A172" s="177"/>
      <c r="B172" s="177">
        <v>600</v>
      </c>
      <c r="C172" s="485"/>
      <c r="D172" s="485"/>
      <c r="E172" s="485"/>
      <c r="F172" s="485"/>
      <c r="G172" s="485"/>
      <c r="H172" s="511"/>
      <c r="I172" s="448" t="s">
        <v>1236</v>
      </c>
      <c r="J172" s="448" t="s">
        <v>197</v>
      </c>
      <c r="K172" s="448" t="s">
        <v>1237</v>
      </c>
      <c r="L172" s="270"/>
      <c r="M172" s="195"/>
      <c r="N172" s="384">
        <v>325.43</v>
      </c>
      <c r="O172" s="384">
        <v>325.43</v>
      </c>
      <c r="P172" s="384">
        <v>286.82424</v>
      </c>
      <c r="Q172" s="384">
        <v>0</v>
      </c>
      <c r="R172" s="384">
        <v>0</v>
      </c>
      <c r="S172" s="384">
        <v>0</v>
      </c>
    </row>
    <row r="173" spans="1:19" s="355" customFormat="1" ht="37.5" customHeight="1">
      <c r="A173" s="177"/>
      <c r="B173" s="177">
        <v>601</v>
      </c>
      <c r="C173" s="485"/>
      <c r="D173" s="485"/>
      <c r="E173" s="485"/>
      <c r="F173" s="485"/>
      <c r="G173" s="485"/>
      <c r="H173" s="511"/>
      <c r="I173" s="448"/>
      <c r="J173" s="448"/>
      <c r="K173" s="448"/>
      <c r="L173" s="220"/>
      <c r="M173" s="161"/>
      <c r="N173" s="385">
        <v>270.69</v>
      </c>
      <c r="O173" s="385">
        <v>270.69</v>
      </c>
      <c r="P173" s="385">
        <v>246.60376</v>
      </c>
      <c r="Q173" s="385">
        <v>0</v>
      </c>
      <c r="R173" s="385">
        <v>0</v>
      </c>
      <c r="S173" s="385">
        <v>0</v>
      </c>
    </row>
    <row r="174" spans="1:19" s="356" customFormat="1" ht="84">
      <c r="A174" s="162" t="s">
        <v>86</v>
      </c>
      <c r="B174" s="162" t="s">
        <v>87</v>
      </c>
      <c r="C174" s="162" t="s">
        <v>57</v>
      </c>
      <c r="D174" s="162" t="s">
        <v>57</v>
      </c>
      <c r="E174" s="162" t="s">
        <v>57</v>
      </c>
      <c r="F174" s="162" t="s">
        <v>57</v>
      </c>
      <c r="G174" s="162" t="s">
        <v>57</v>
      </c>
      <c r="H174" s="162" t="s">
        <v>57</v>
      </c>
      <c r="I174" s="162" t="s">
        <v>57</v>
      </c>
      <c r="J174" s="162" t="s">
        <v>57</v>
      </c>
      <c r="K174" s="162" t="s">
        <v>57</v>
      </c>
      <c r="L174" s="163"/>
      <c r="M174" s="163"/>
      <c r="N174" s="271">
        <f aca="true" t="shared" si="22" ref="N174:S174">SUM(N176:N179)</f>
        <v>8396.485639999999</v>
      </c>
      <c r="O174" s="271">
        <f t="shared" si="22"/>
        <v>8396.485639999999</v>
      </c>
      <c r="P174" s="271">
        <f t="shared" si="22"/>
        <v>28520.185</v>
      </c>
      <c r="Q174" s="271">
        <f>SUM(Q176:Q179)</f>
        <v>28915</v>
      </c>
      <c r="R174" s="271">
        <f>SUM(R176:R179)</f>
        <v>9115</v>
      </c>
      <c r="S174" s="271">
        <f t="shared" si="22"/>
        <v>9053</v>
      </c>
    </row>
    <row r="175" spans="1:19" s="356" customFormat="1" ht="12">
      <c r="A175" s="167" t="s">
        <v>246</v>
      </c>
      <c r="B175" s="167"/>
      <c r="C175" s="167"/>
      <c r="D175" s="167"/>
      <c r="E175" s="167"/>
      <c r="F175" s="167"/>
      <c r="G175" s="167"/>
      <c r="H175" s="167"/>
      <c r="I175" s="167"/>
      <c r="J175" s="167"/>
      <c r="K175" s="167"/>
      <c r="L175" s="163"/>
      <c r="M175" s="163"/>
      <c r="N175" s="165"/>
      <c r="O175" s="165"/>
      <c r="P175" s="165"/>
      <c r="Q175" s="165"/>
      <c r="R175" s="165"/>
      <c r="S175" s="166"/>
    </row>
    <row r="176" spans="1:19" s="357" customFormat="1" ht="12">
      <c r="A176" s="272"/>
      <c r="B176" s="272"/>
      <c r="C176" s="272"/>
      <c r="D176" s="272"/>
      <c r="E176" s="272"/>
      <c r="F176" s="272"/>
      <c r="G176" s="272"/>
      <c r="H176" s="272"/>
      <c r="I176" s="272"/>
      <c r="J176" s="272"/>
      <c r="K176" s="272"/>
      <c r="L176" s="267" t="s">
        <v>76</v>
      </c>
      <c r="M176" s="267" t="s">
        <v>64</v>
      </c>
      <c r="N176" s="273">
        <f aca="true" t="shared" si="23" ref="N176:S176">N186</f>
        <v>999</v>
      </c>
      <c r="O176" s="273">
        <f t="shared" si="23"/>
        <v>999</v>
      </c>
      <c r="P176" s="273">
        <f t="shared" si="23"/>
        <v>0</v>
      </c>
      <c r="Q176" s="273">
        <f>Q186</f>
        <v>0</v>
      </c>
      <c r="R176" s="273">
        <f>R186</f>
        <v>0</v>
      </c>
      <c r="S176" s="273">
        <f t="shared" si="23"/>
        <v>0</v>
      </c>
    </row>
    <row r="177" spans="1:19" s="357" customFormat="1" ht="12">
      <c r="A177" s="171"/>
      <c r="B177" s="171"/>
      <c r="C177" s="171"/>
      <c r="D177" s="171"/>
      <c r="E177" s="171"/>
      <c r="F177" s="171"/>
      <c r="G177" s="171"/>
      <c r="H177" s="171"/>
      <c r="I177" s="171"/>
      <c r="J177" s="171"/>
      <c r="K177" s="171"/>
      <c r="L177" s="267" t="s">
        <v>47</v>
      </c>
      <c r="M177" s="267" t="s">
        <v>58</v>
      </c>
      <c r="N177" s="274">
        <f aca="true" t="shared" si="24" ref="N177:S177">N180+N183</f>
        <v>1544.822</v>
      </c>
      <c r="O177" s="274">
        <f t="shared" si="24"/>
        <v>1544.822</v>
      </c>
      <c r="P177" s="274">
        <f t="shared" si="24"/>
        <v>1938.1850000000002</v>
      </c>
      <c r="Q177" s="274">
        <f>Q180+Q183</f>
        <v>1461.4</v>
      </c>
      <c r="R177" s="274">
        <f>R180+R183</f>
        <v>1461.4</v>
      </c>
      <c r="S177" s="274">
        <f t="shared" si="24"/>
        <v>1461.4</v>
      </c>
    </row>
    <row r="178" spans="1:19" s="357" customFormat="1" ht="12">
      <c r="A178" s="265"/>
      <c r="B178" s="265"/>
      <c r="C178" s="265"/>
      <c r="D178" s="265"/>
      <c r="E178" s="265"/>
      <c r="F178" s="265"/>
      <c r="G178" s="265"/>
      <c r="H178" s="265"/>
      <c r="I178" s="265"/>
      <c r="J178" s="265"/>
      <c r="K178" s="265"/>
      <c r="L178" s="267" t="s">
        <v>47</v>
      </c>
      <c r="M178" s="267" t="s">
        <v>64</v>
      </c>
      <c r="N178" s="274">
        <f aca="true" t="shared" si="25" ref="N178:S178">N185</f>
        <v>5763.41364</v>
      </c>
      <c r="O178" s="274">
        <f t="shared" si="25"/>
        <v>5763.41364</v>
      </c>
      <c r="P178" s="274">
        <f>P185+P190</f>
        <v>26468.6</v>
      </c>
      <c r="Q178" s="274">
        <f>Q185+Q190</f>
        <v>27387.3</v>
      </c>
      <c r="R178" s="274">
        <f>R185+R190</f>
        <v>7587.3</v>
      </c>
      <c r="S178" s="274">
        <f t="shared" si="25"/>
        <v>7587.3</v>
      </c>
    </row>
    <row r="179" spans="1:19" s="357" customFormat="1" ht="12">
      <c r="A179" s="272"/>
      <c r="B179" s="272"/>
      <c r="C179" s="272"/>
      <c r="D179" s="272"/>
      <c r="E179" s="272"/>
      <c r="F179" s="272"/>
      <c r="G179" s="272"/>
      <c r="H179" s="272"/>
      <c r="I179" s="272"/>
      <c r="J179" s="272"/>
      <c r="K179" s="272"/>
      <c r="L179" s="275" t="s">
        <v>47</v>
      </c>
      <c r="M179" s="275" t="s">
        <v>71</v>
      </c>
      <c r="N179" s="273">
        <f aca="true" t="shared" si="26" ref="N179:S179">N188+N189</f>
        <v>89.25</v>
      </c>
      <c r="O179" s="273">
        <f t="shared" si="26"/>
        <v>89.25</v>
      </c>
      <c r="P179" s="273">
        <f t="shared" si="26"/>
        <v>113.39999999999999</v>
      </c>
      <c r="Q179" s="273">
        <f>Q188+Q189</f>
        <v>66.3</v>
      </c>
      <c r="R179" s="273">
        <f>R188+R189</f>
        <v>66.3</v>
      </c>
      <c r="S179" s="273">
        <f t="shared" si="26"/>
        <v>4.3</v>
      </c>
    </row>
    <row r="180" spans="1:19" s="355" customFormat="1" ht="111" customHeight="1">
      <c r="A180" s="454" t="s">
        <v>314</v>
      </c>
      <c r="B180" s="177"/>
      <c r="C180" s="63" t="s">
        <v>168</v>
      </c>
      <c r="D180" s="63" t="s">
        <v>322</v>
      </c>
      <c r="E180" s="63" t="s">
        <v>170</v>
      </c>
      <c r="F180" s="63" t="s">
        <v>1183</v>
      </c>
      <c r="G180" s="63" t="s">
        <v>1185</v>
      </c>
      <c r="H180" s="63" t="s">
        <v>1184</v>
      </c>
      <c r="I180" s="1" t="s">
        <v>964</v>
      </c>
      <c r="J180" s="1" t="s">
        <v>323</v>
      </c>
      <c r="K180" s="62" t="s">
        <v>324</v>
      </c>
      <c r="L180" s="237" t="s">
        <v>47</v>
      </c>
      <c r="M180" s="237" t="s">
        <v>58</v>
      </c>
      <c r="N180" s="276">
        <v>1366.8</v>
      </c>
      <c r="O180" s="276">
        <v>1366.8</v>
      </c>
      <c r="P180" s="276">
        <v>1461.4</v>
      </c>
      <c r="Q180" s="276">
        <v>1461.4</v>
      </c>
      <c r="R180" s="276">
        <v>1461.4</v>
      </c>
      <c r="S180" s="404">
        <v>1461.4</v>
      </c>
    </row>
    <row r="181" spans="1:19" s="355" customFormat="1" ht="48.75" customHeight="1">
      <c r="A181" s="454"/>
      <c r="B181" s="177"/>
      <c r="C181" s="21"/>
      <c r="D181" s="21"/>
      <c r="E181" s="21"/>
      <c r="F181" s="21"/>
      <c r="G181" s="21"/>
      <c r="H181" s="21"/>
      <c r="I181" s="5" t="s">
        <v>1248</v>
      </c>
      <c r="J181" s="5" t="s">
        <v>197</v>
      </c>
      <c r="K181" s="5" t="s">
        <v>909</v>
      </c>
      <c r="L181" s="208"/>
      <c r="M181" s="208"/>
      <c r="N181" s="363"/>
      <c r="O181" s="363"/>
      <c r="P181" s="363"/>
      <c r="Q181" s="363"/>
      <c r="R181" s="444"/>
      <c r="S181" s="279"/>
    </row>
    <row r="182" spans="1:19" s="355" customFormat="1" ht="84.75" customHeight="1">
      <c r="A182" s="454"/>
      <c r="B182" s="177"/>
      <c r="C182" s="195" t="s">
        <v>1180</v>
      </c>
      <c r="D182" s="195" t="s">
        <v>1181</v>
      </c>
      <c r="E182" s="195" t="s">
        <v>1182</v>
      </c>
      <c r="F182" s="177"/>
      <c r="G182" s="177"/>
      <c r="H182" s="177"/>
      <c r="I182" s="159" t="s">
        <v>325</v>
      </c>
      <c r="J182" s="195" t="s">
        <v>197</v>
      </c>
      <c r="K182" s="277" t="s">
        <v>1249</v>
      </c>
      <c r="L182" s="199"/>
      <c r="M182" s="199"/>
      <c r="N182" s="278"/>
      <c r="O182" s="278"/>
      <c r="P182" s="278"/>
      <c r="Q182" s="278"/>
      <c r="R182" s="278"/>
      <c r="S182" s="279"/>
    </row>
    <row r="183" spans="1:19" s="355" customFormat="1" ht="48" customHeight="1">
      <c r="A183" s="177" t="s">
        <v>315</v>
      </c>
      <c r="B183" s="177">
        <v>567</v>
      </c>
      <c r="C183" s="177"/>
      <c r="D183" s="177"/>
      <c r="E183" s="177"/>
      <c r="F183" s="462" t="s">
        <v>317</v>
      </c>
      <c r="G183" s="462" t="s">
        <v>318</v>
      </c>
      <c r="H183" s="463" t="s">
        <v>319</v>
      </c>
      <c r="I183" s="4" t="s">
        <v>1171</v>
      </c>
      <c r="J183" s="4" t="s">
        <v>197</v>
      </c>
      <c r="K183" s="416" t="s">
        <v>1172</v>
      </c>
      <c r="L183" s="157"/>
      <c r="M183" s="157"/>
      <c r="N183" s="278">
        <v>178.022</v>
      </c>
      <c r="O183" s="278">
        <v>178.022</v>
      </c>
      <c r="P183" s="278">
        <f>89.185+387.6</f>
        <v>476.785</v>
      </c>
      <c r="Q183" s="278">
        <v>0</v>
      </c>
      <c r="R183" s="278">
        <v>0</v>
      </c>
      <c r="S183" s="281">
        <v>0</v>
      </c>
    </row>
    <row r="184" spans="1:19" s="355" customFormat="1" ht="51.75" customHeight="1">
      <c r="A184" s="177"/>
      <c r="B184" s="177"/>
      <c r="C184" s="177"/>
      <c r="D184" s="177"/>
      <c r="E184" s="177"/>
      <c r="F184" s="462"/>
      <c r="G184" s="462"/>
      <c r="H184" s="463"/>
      <c r="I184" s="17" t="s">
        <v>237</v>
      </c>
      <c r="J184" s="17" t="s">
        <v>197</v>
      </c>
      <c r="K184" s="17" t="s">
        <v>205</v>
      </c>
      <c r="L184" s="161"/>
      <c r="M184" s="161"/>
      <c r="N184" s="382"/>
      <c r="O184" s="382"/>
      <c r="P184" s="382"/>
      <c r="Q184" s="382"/>
      <c r="R184" s="382"/>
      <c r="S184" s="405"/>
    </row>
    <row r="185" spans="1:19" s="355" customFormat="1" ht="72">
      <c r="A185" s="205" t="s">
        <v>316</v>
      </c>
      <c r="B185" s="177"/>
      <c r="C185" s="177"/>
      <c r="D185" s="177"/>
      <c r="E185" s="177"/>
      <c r="F185" s="177"/>
      <c r="G185" s="177"/>
      <c r="H185" s="177"/>
      <c r="I185" s="159" t="s">
        <v>901</v>
      </c>
      <c r="J185" s="177" t="s">
        <v>197</v>
      </c>
      <c r="K185" s="177" t="s">
        <v>321</v>
      </c>
      <c r="L185" s="187">
        <v>11</v>
      </c>
      <c r="M185" s="254" t="s">
        <v>64</v>
      </c>
      <c r="N185" s="282">
        <f>5763.41364</f>
        <v>5763.41364</v>
      </c>
      <c r="O185" s="282">
        <v>5763.41364</v>
      </c>
      <c r="P185" s="282">
        <f>26468.6-18000</f>
        <v>8468.599999999999</v>
      </c>
      <c r="Q185" s="282">
        <v>7387.3</v>
      </c>
      <c r="R185" s="282">
        <v>7587.3</v>
      </c>
      <c r="S185" s="283">
        <v>7587.3</v>
      </c>
    </row>
    <row r="186" spans="1:19" s="355" customFormat="1" ht="133.5" customHeight="1">
      <c r="A186" s="205"/>
      <c r="B186" s="177"/>
      <c r="C186" s="177"/>
      <c r="D186" s="177"/>
      <c r="E186" s="177"/>
      <c r="F186" s="177"/>
      <c r="G186" s="177"/>
      <c r="H186" s="177"/>
      <c r="I186" s="449" t="s">
        <v>960</v>
      </c>
      <c r="J186" s="1" t="s">
        <v>197</v>
      </c>
      <c r="K186" s="1" t="s">
        <v>961</v>
      </c>
      <c r="L186" s="254" t="s">
        <v>76</v>
      </c>
      <c r="M186" s="254" t="s">
        <v>64</v>
      </c>
      <c r="N186" s="282">
        <v>999</v>
      </c>
      <c r="O186" s="282">
        <v>999</v>
      </c>
      <c r="P186" s="282">
        <v>0</v>
      </c>
      <c r="Q186" s="282">
        <v>0</v>
      </c>
      <c r="R186" s="282">
        <v>0</v>
      </c>
      <c r="S186" s="284">
        <v>0</v>
      </c>
    </row>
    <row r="187" spans="1:19" s="355" customFormat="1" ht="12" hidden="1">
      <c r="A187" s="205"/>
      <c r="B187" s="177"/>
      <c r="C187" s="177"/>
      <c r="D187" s="177"/>
      <c r="E187" s="177"/>
      <c r="F187" s="177"/>
      <c r="G187" s="177"/>
      <c r="H187" s="177"/>
      <c r="I187" s="449"/>
      <c r="J187" s="5"/>
      <c r="K187" s="5"/>
      <c r="L187" s="254" t="s">
        <v>47</v>
      </c>
      <c r="M187" s="254" t="s">
        <v>64</v>
      </c>
      <c r="N187" s="282">
        <v>0</v>
      </c>
      <c r="O187" s="282"/>
      <c r="P187" s="282"/>
      <c r="Q187" s="282"/>
      <c r="R187" s="282"/>
      <c r="S187" s="284"/>
    </row>
    <row r="188" spans="1:19" s="355" customFormat="1" ht="131.25" customHeight="1">
      <c r="A188" s="205" t="s">
        <v>671</v>
      </c>
      <c r="B188" s="208" t="s">
        <v>672</v>
      </c>
      <c r="C188" s="177"/>
      <c r="D188" s="177"/>
      <c r="E188" s="177"/>
      <c r="F188" s="177"/>
      <c r="G188" s="177"/>
      <c r="H188" s="177"/>
      <c r="I188" s="462" t="s">
        <v>847</v>
      </c>
      <c r="J188" s="5" t="s">
        <v>197</v>
      </c>
      <c r="K188" s="5" t="s">
        <v>1179</v>
      </c>
      <c r="L188" s="254" t="s">
        <v>47</v>
      </c>
      <c r="M188" s="254" t="s">
        <v>71</v>
      </c>
      <c r="N188" s="282">
        <v>85</v>
      </c>
      <c r="O188" s="282">
        <v>85</v>
      </c>
      <c r="P188" s="282">
        <v>109.1</v>
      </c>
      <c r="Q188" s="282">
        <v>62</v>
      </c>
      <c r="R188" s="282">
        <v>62</v>
      </c>
      <c r="S188" s="284">
        <v>0</v>
      </c>
    </row>
    <row r="189" spans="1:19" s="355" customFormat="1" ht="12">
      <c r="A189" s="205"/>
      <c r="B189" s="208"/>
      <c r="C189" s="177"/>
      <c r="D189" s="177"/>
      <c r="E189" s="177"/>
      <c r="F189" s="177"/>
      <c r="G189" s="177"/>
      <c r="H189" s="177"/>
      <c r="I189" s="462"/>
      <c r="J189" s="5"/>
      <c r="K189" s="347"/>
      <c r="L189" s="309" t="s">
        <v>47</v>
      </c>
      <c r="M189" s="309" t="s">
        <v>71</v>
      </c>
      <c r="N189" s="282">
        <v>4.25</v>
      </c>
      <c r="O189" s="282">
        <v>4.25</v>
      </c>
      <c r="P189" s="282">
        <v>4.3</v>
      </c>
      <c r="Q189" s="282">
        <v>4.3</v>
      </c>
      <c r="R189" s="282">
        <v>4.3</v>
      </c>
      <c r="S189" s="284">
        <v>4.3</v>
      </c>
    </row>
    <row r="190" spans="1:19" s="355" customFormat="1" ht="108">
      <c r="A190" s="205" t="s">
        <v>1134</v>
      </c>
      <c r="B190" s="208" t="s">
        <v>1135</v>
      </c>
      <c r="C190" s="177"/>
      <c r="D190" s="177"/>
      <c r="E190" s="177"/>
      <c r="F190" s="177"/>
      <c r="G190" s="177"/>
      <c r="H190" s="177"/>
      <c r="I190" s="5" t="s">
        <v>1259</v>
      </c>
      <c r="J190" s="5" t="s">
        <v>197</v>
      </c>
      <c r="K190" s="347" t="s">
        <v>1260</v>
      </c>
      <c r="L190" s="309" t="s">
        <v>47</v>
      </c>
      <c r="M190" s="309" t="s">
        <v>64</v>
      </c>
      <c r="N190" s="284">
        <v>0</v>
      </c>
      <c r="O190" s="282">
        <v>0</v>
      </c>
      <c r="P190" s="282">
        <v>18000</v>
      </c>
      <c r="Q190" s="282">
        <v>20000</v>
      </c>
      <c r="R190" s="282">
        <v>0</v>
      </c>
      <c r="S190" s="284"/>
    </row>
    <row r="191" spans="1:19" s="356" customFormat="1" ht="36">
      <c r="A191" s="168" t="s">
        <v>88</v>
      </c>
      <c r="B191" s="167"/>
      <c r="C191" s="167"/>
      <c r="D191" s="167"/>
      <c r="E191" s="167"/>
      <c r="F191" s="167"/>
      <c r="G191" s="167"/>
      <c r="H191" s="167"/>
      <c r="I191" s="8"/>
      <c r="J191" s="8"/>
      <c r="K191" s="8"/>
      <c r="L191" s="228"/>
      <c r="M191" s="412"/>
      <c r="N191" s="285">
        <f aca="true" t="shared" si="27" ref="N191:S191">SUM(N192:N193)</f>
        <v>161.508</v>
      </c>
      <c r="O191" s="285">
        <f t="shared" si="27"/>
        <v>161.508</v>
      </c>
      <c r="P191" s="285">
        <f t="shared" si="27"/>
        <v>192.1</v>
      </c>
      <c r="Q191" s="285">
        <f t="shared" si="27"/>
        <v>370</v>
      </c>
      <c r="R191" s="285">
        <f t="shared" si="27"/>
        <v>390</v>
      </c>
      <c r="S191" s="285">
        <f t="shared" si="27"/>
        <v>390</v>
      </c>
    </row>
    <row r="192" spans="1:19" s="355" customFormat="1" ht="72.75" customHeight="1">
      <c r="A192" s="193" t="s">
        <v>88</v>
      </c>
      <c r="B192" s="162" t="s">
        <v>89</v>
      </c>
      <c r="C192" s="481" t="s">
        <v>326</v>
      </c>
      <c r="D192" s="481" t="s">
        <v>327</v>
      </c>
      <c r="E192" s="481" t="s">
        <v>170</v>
      </c>
      <c r="F192" s="481" t="s">
        <v>328</v>
      </c>
      <c r="G192" s="481" t="s">
        <v>329</v>
      </c>
      <c r="H192" s="481" t="s">
        <v>330</v>
      </c>
      <c r="I192" s="63" t="s">
        <v>331</v>
      </c>
      <c r="J192" s="63" t="s">
        <v>261</v>
      </c>
      <c r="K192" s="63" t="s">
        <v>332</v>
      </c>
      <c r="L192" s="187" t="s">
        <v>76</v>
      </c>
      <c r="M192" s="187" t="s">
        <v>76</v>
      </c>
      <c r="N192" s="82">
        <v>151.508</v>
      </c>
      <c r="O192" s="82">
        <v>151.508</v>
      </c>
      <c r="P192" s="82">
        <v>192.1</v>
      </c>
      <c r="Q192" s="82">
        <v>370</v>
      </c>
      <c r="R192" s="82">
        <v>390</v>
      </c>
      <c r="S192" s="83">
        <v>390</v>
      </c>
    </row>
    <row r="193" spans="1:19" s="355" customFormat="1" ht="36.75" customHeight="1">
      <c r="A193" s="177"/>
      <c r="B193" s="177"/>
      <c r="C193" s="461"/>
      <c r="D193" s="461"/>
      <c r="E193" s="461"/>
      <c r="F193" s="461"/>
      <c r="G193" s="461"/>
      <c r="H193" s="461"/>
      <c r="I193" s="63" t="s">
        <v>333</v>
      </c>
      <c r="J193" s="63" t="s">
        <v>334</v>
      </c>
      <c r="K193" s="63" t="s">
        <v>335</v>
      </c>
      <c r="L193" s="254" t="s">
        <v>76</v>
      </c>
      <c r="M193" s="254" t="s">
        <v>66</v>
      </c>
      <c r="N193" s="82">
        <v>10</v>
      </c>
      <c r="O193" s="82">
        <v>10</v>
      </c>
      <c r="P193" s="82">
        <v>0</v>
      </c>
      <c r="Q193" s="82">
        <v>0</v>
      </c>
      <c r="R193" s="82">
        <v>0</v>
      </c>
      <c r="S193" s="83">
        <v>0</v>
      </c>
    </row>
    <row r="194" spans="1:19" s="356" customFormat="1" ht="48">
      <c r="A194" s="162" t="s">
        <v>90</v>
      </c>
      <c r="B194" s="162" t="s">
        <v>91</v>
      </c>
      <c r="C194" s="162" t="s">
        <v>57</v>
      </c>
      <c r="D194" s="162" t="s">
        <v>57</v>
      </c>
      <c r="E194" s="162" t="s">
        <v>57</v>
      </c>
      <c r="F194" s="162" t="s">
        <v>57</v>
      </c>
      <c r="G194" s="162" t="s">
        <v>57</v>
      </c>
      <c r="H194" s="162" t="s">
        <v>57</v>
      </c>
      <c r="I194" s="162" t="s">
        <v>57</v>
      </c>
      <c r="J194" s="162" t="s">
        <v>57</v>
      </c>
      <c r="K194" s="162" t="s">
        <v>57</v>
      </c>
      <c r="L194" s="163" t="s">
        <v>69</v>
      </c>
      <c r="M194" s="163" t="s">
        <v>58</v>
      </c>
      <c r="N194" s="165">
        <f aca="true" t="shared" si="28" ref="N194:S194">SUM(N196:N207)</f>
        <v>31604.8129</v>
      </c>
      <c r="O194" s="165">
        <f t="shared" si="28"/>
        <v>31604.8129</v>
      </c>
      <c r="P194" s="165">
        <f t="shared" si="28"/>
        <v>22624.411</v>
      </c>
      <c r="Q194" s="165">
        <f t="shared" si="28"/>
        <v>21945.1</v>
      </c>
      <c r="R194" s="165">
        <f t="shared" si="28"/>
        <v>21945.1</v>
      </c>
      <c r="S194" s="165">
        <f t="shared" si="28"/>
        <v>21945.1</v>
      </c>
    </row>
    <row r="195" spans="1:19" s="356" customFormat="1" ht="12">
      <c r="A195" s="162" t="s">
        <v>246</v>
      </c>
      <c r="B195" s="162"/>
      <c r="C195" s="162"/>
      <c r="D195" s="162"/>
      <c r="E195" s="162"/>
      <c r="F195" s="162"/>
      <c r="G195" s="162"/>
      <c r="H195" s="162"/>
      <c r="I195" s="162"/>
      <c r="J195" s="162"/>
      <c r="K195" s="162"/>
      <c r="L195" s="163"/>
      <c r="M195" s="163"/>
      <c r="N195" s="165"/>
      <c r="O195" s="165"/>
      <c r="P195" s="165"/>
      <c r="Q195" s="165"/>
      <c r="R195" s="165"/>
      <c r="S195" s="166"/>
    </row>
    <row r="196" spans="1:19" s="356" customFormat="1" ht="60">
      <c r="A196" s="162"/>
      <c r="B196" s="162"/>
      <c r="C196" s="509" t="s">
        <v>168</v>
      </c>
      <c r="D196" s="509" t="s">
        <v>265</v>
      </c>
      <c r="E196" s="509" t="s">
        <v>170</v>
      </c>
      <c r="F196" s="509"/>
      <c r="G196" s="509"/>
      <c r="H196" s="509"/>
      <c r="I196" s="87" t="s">
        <v>338</v>
      </c>
      <c r="J196" s="87" t="s">
        <v>197</v>
      </c>
      <c r="K196" s="88" t="s">
        <v>289</v>
      </c>
      <c r="L196" s="227"/>
      <c r="M196" s="227"/>
      <c r="N196" s="221">
        <f>6174.5729+14678.44</f>
        <v>20853.0129</v>
      </c>
      <c r="O196" s="221">
        <f>6174.5729+14678.44</f>
        <v>20853.0129</v>
      </c>
      <c r="P196" s="221">
        <f>7690.711+14918.7</f>
        <v>22609.411</v>
      </c>
      <c r="Q196" s="221">
        <f>7026.4+14918.7</f>
        <v>21945.1</v>
      </c>
      <c r="R196" s="221">
        <f>7026.4+14918.7</f>
        <v>21945.1</v>
      </c>
      <c r="S196" s="221">
        <f>7026.4+14918.7</f>
        <v>21945.1</v>
      </c>
    </row>
    <row r="197" spans="1:19" s="356" customFormat="1" ht="72" customHeight="1">
      <c r="A197" s="201"/>
      <c r="B197" s="201"/>
      <c r="C197" s="510"/>
      <c r="D197" s="510"/>
      <c r="E197" s="510"/>
      <c r="F197" s="510"/>
      <c r="G197" s="510"/>
      <c r="H197" s="510"/>
      <c r="I197" s="23" t="s">
        <v>1250</v>
      </c>
      <c r="J197" s="23" t="s">
        <v>197</v>
      </c>
      <c r="K197" s="23" t="s">
        <v>289</v>
      </c>
      <c r="L197" s="202"/>
      <c r="M197" s="202"/>
      <c r="N197" s="197"/>
      <c r="O197" s="197"/>
      <c r="P197" s="197"/>
      <c r="Q197" s="197"/>
      <c r="R197" s="197"/>
      <c r="S197" s="445"/>
    </row>
    <row r="198" spans="1:19" s="356" customFormat="1" ht="72" customHeight="1">
      <c r="A198" s="201"/>
      <c r="B198" s="201"/>
      <c r="C198" s="510"/>
      <c r="D198" s="510"/>
      <c r="E198" s="510"/>
      <c r="F198" s="510"/>
      <c r="G198" s="510"/>
      <c r="H198" s="510"/>
      <c r="I198" s="23" t="s">
        <v>1251</v>
      </c>
      <c r="J198" s="23" t="s">
        <v>197</v>
      </c>
      <c r="K198" s="23" t="s">
        <v>289</v>
      </c>
      <c r="L198" s="202"/>
      <c r="M198" s="202"/>
      <c r="N198" s="197"/>
      <c r="O198" s="197"/>
      <c r="P198" s="197"/>
      <c r="Q198" s="197"/>
      <c r="R198" s="197"/>
      <c r="S198" s="445"/>
    </row>
    <row r="199" spans="1:19" s="355" customFormat="1" ht="71.25" customHeight="1">
      <c r="A199" s="177"/>
      <c r="B199" s="177"/>
      <c r="C199" s="510"/>
      <c r="D199" s="510"/>
      <c r="E199" s="510"/>
      <c r="F199" s="510"/>
      <c r="G199" s="510"/>
      <c r="H199" s="510"/>
      <c r="I199" s="17" t="s">
        <v>906</v>
      </c>
      <c r="J199" s="17" t="s">
        <v>197</v>
      </c>
      <c r="K199" s="18" t="s">
        <v>907</v>
      </c>
      <c r="L199" s="195"/>
      <c r="M199" s="195"/>
      <c r="N199" s="197"/>
      <c r="O199" s="197"/>
      <c r="P199" s="197"/>
      <c r="Q199" s="197"/>
      <c r="R199" s="197"/>
      <c r="S199" s="197"/>
    </row>
    <row r="200" spans="1:19" s="356" customFormat="1" ht="60">
      <c r="A200" s="201"/>
      <c r="B200" s="201"/>
      <c r="C200" s="510"/>
      <c r="D200" s="510"/>
      <c r="E200" s="510"/>
      <c r="F200" s="510"/>
      <c r="G200" s="510"/>
      <c r="H200" s="510"/>
      <c r="I200" s="23" t="s">
        <v>339</v>
      </c>
      <c r="J200" s="23" t="s">
        <v>197</v>
      </c>
      <c r="K200" s="89" t="s">
        <v>289</v>
      </c>
      <c r="L200" s="286"/>
      <c r="M200" s="286"/>
      <c r="N200" s="258"/>
      <c r="O200" s="258"/>
      <c r="P200" s="258"/>
      <c r="Q200" s="258"/>
      <c r="R200" s="258"/>
      <c r="S200" s="287"/>
    </row>
    <row r="201" spans="1:19" s="356" customFormat="1" ht="108">
      <c r="A201" s="201"/>
      <c r="B201" s="201"/>
      <c r="C201" s="510"/>
      <c r="D201" s="510"/>
      <c r="E201" s="510"/>
      <c r="F201" s="510"/>
      <c r="G201" s="510"/>
      <c r="H201" s="510"/>
      <c r="I201" s="23" t="s">
        <v>340</v>
      </c>
      <c r="J201" s="23" t="s">
        <v>197</v>
      </c>
      <c r="K201" s="89" t="s">
        <v>289</v>
      </c>
      <c r="L201" s="286"/>
      <c r="M201" s="286"/>
      <c r="N201" s="258"/>
      <c r="O201" s="258"/>
      <c r="P201" s="258"/>
      <c r="Q201" s="258"/>
      <c r="R201" s="258"/>
      <c r="S201" s="287"/>
    </row>
    <row r="202" spans="1:19" s="356" customFormat="1" ht="47.25" customHeight="1">
      <c r="A202" s="201"/>
      <c r="B202" s="201"/>
      <c r="C202" s="23"/>
      <c r="D202" s="23"/>
      <c r="E202" s="23"/>
      <c r="F202" s="23"/>
      <c r="G202" s="23"/>
      <c r="H202" s="23"/>
      <c r="I202" s="23" t="s">
        <v>884</v>
      </c>
      <c r="J202" s="23" t="s">
        <v>197</v>
      </c>
      <c r="K202" s="89" t="s">
        <v>205</v>
      </c>
      <c r="L202" s="286"/>
      <c r="M202" s="286"/>
      <c r="N202" s="258"/>
      <c r="O202" s="258"/>
      <c r="P202" s="258"/>
      <c r="Q202" s="258"/>
      <c r="R202" s="258"/>
      <c r="S202" s="287"/>
    </row>
    <row r="203" spans="1:19" s="355" customFormat="1" ht="48" customHeight="1">
      <c r="A203" s="177"/>
      <c r="B203" s="215" t="s">
        <v>1191</v>
      </c>
      <c r="C203" s="23"/>
      <c r="D203" s="23"/>
      <c r="E203" s="23"/>
      <c r="F203" s="23"/>
      <c r="G203" s="23"/>
      <c r="H203" s="23"/>
      <c r="I203" s="23" t="s">
        <v>1229</v>
      </c>
      <c r="J203" s="23" t="s">
        <v>197</v>
      </c>
      <c r="K203" s="89" t="s">
        <v>1230</v>
      </c>
      <c r="L203" s="157"/>
      <c r="M203" s="157"/>
      <c r="N203" s="180"/>
      <c r="O203" s="180"/>
      <c r="P203" s="180">
        <v>15</v>
      </c>
      <c r="Q203" s="180"/>
      <c r="R203" s="180"/>
      <c r="S203" s="181"/>
    </row>
    <row r="204" spans="1:19" s="355" customFormat="1" ht="48.75" customHeight="1">
      <c r="A204" s="177"/>
      <c r="B204" s="215" t="s">
        <v>977</v>
      </c>
      <c r="C204" s="262"/>
      <c r="D204" s="262"/>
      <c r="E204" s="262"/>
      <c r="F204" s="262"/>
      <c r="G204" s="262"/>
      <c r="H204" s="262"/>
      <c r="I204" s="23" t="s">
        <v>1046</v>
      </c>
      <c r="J204" s="23" t="s">
        <v>197</v>
      </c>
      <c r="K204" s="89" t="s">
        <v>1047</v>
      </c>
      <c r="L204" s="157"/>
      <c r="M204" s="157"/>
      <c r="N204" s="180">
        <v>60</v>
      </c>
      <c r="O204" s="180">
        <v>60</v>
      </c>
      <c r="P204" s="180">
        <v>0</v>
      </c>
      <c r="Q204" s="180">
        <v>0</v>
      </c>
      <c r="R204" s="180">
        <v>0</v>
      </c>
      <c r="S204" s="181">
        <v>0</v>
      </c>
    </row>
    <row r="205" spans="1:19" s="355" customFormat="1" ht="60">
      <c r="A205" s="177"/>
      <c r="B205" s="215" t="s">
        <v>932</v>
      </c>
      <c r="C205" s="262"/>
      <c r="D205" s="262"/>
      <c r="E205" s="262"/>
      <c r="F205" s="262"/>
      <c r="G205" s="262"/>
      <c r="H205" s="262"/>
      <c r="I205" s="23" t="s">
        <v>970</v>
      </c>
      <c r="J205" s="23" t="s">
        <v>197</v>
      </c>
      <c r="K205" s="89" t="s">
        <v>933</v>
      </c>
      <c r="L205" s="157"/>
      <c r="M205" s="157"/>
      <c r="N205" s="180">
        <f>24.4+75.9</f>
        <v>100.30000000000001</v>
      </c>
      <c r="O205" s="180">
        <f>75.9+24.4</f>
        <v>100.30000000000001</v>
      </c>
      <c r="P205" s="180">
        <v>0</v>
      </c>
      <c r="Q205" s="180">
        <v>0</v>
      </c>
      <c r="R205" s="180">
        <v>0</v>
      </c>
      <c r="S205" s="181">
        <v>0</v>
      </c>
    </row>
    <row r="206" spans="1:19" s="355" customFormat="1" ht="96">
      <c r="A206" s="177"/>
      <c r="B206" s="215" t="s">
        <v>337</v>
      </c>
      <c r="C206" s="262"/>
      <c r="D206" s="262"/>
      <c r="E206" s="262"/>
      <c r="F206" s="262"/>
      <c r="G206" s="262"/>
      <c r="H206" s="262"/>
      <c r="I206" s="23" t="s">
        <v>971</v>
      </c>
      <c r="J206" s="23" t="s">
        <v>197</v>
      </c>
      <c r="K206" s="89" t="s">
        <v>934</v>
      </c>
      <c r="L206" s="157"/>
      <c r="M206" s="157"/>
      <c r="N206" s="180">
        <v>43.3</v>
      </c>
      <c r="O206" s="180">
        <v>43.3</v>
      </c>
      <c r="P206" s="180">
        <v>0</v>
      </c>
      <c r="Q206" s="180">
        <v>0</v>
      </c>
      <c r="R206" s="180">
        <v>0</v>
      </c>
      <c r="S206" s="181">
        <v>0</v>
      </c>
    </row>
    <row r="207" spans="1:19" s="355" customFormat="1" ht="108">
      <c r="A207" s="185"/>
      <c r="B207" s="288" t="s">
        <v>336</v>
      </c>
      <c r="C207" s="289"/>
      <c r="D207" s="289"/>
      <c r="E207" s="289"/>
      <c r="F207" s="289"/>
      <c r="G207" s="289"/>
      <c r="H207" s="289"/>
      <c r="I207" s="56" t="s">
        <v>1064</v>
      </c>
      <c r="J207" s="56" t="s">
        <v>197</v>
      </c>
      <c r="K207" s="90" t="s">
        <v>215</v>
      </c>
      <c r="L207" s="222"/>
      <c r="M207" s="222"/>
      <c r="N207" s="223">
        <v>10548.2</v>
      </c>
      <c r="O207" s="223">
        <v>10548.2</v>
      </c>
      <c r="P207" s="223">
        <v>0</v>
      </c>
      <c r="Q207" s="223">
        <v>0</v>
      </c>
      <c r="R207" s="223">
        <v>0</v>
      </c>
      <c r="S207" s="407">
        <v>0</v>
      </c>
    </row>
    <row r="208" spans="1:19" s="356" customFormat="1" ht="96">
      <c r="A208" s="162" t="s">
        <v>9</v>
      </c>
      <c r="B208" s="162" t="s">
        <v>92</v>
      </c>
      <c r="C208" s="163" t="s">
        <v>53</v>
      </c>
      <c r="D208" s="163" t="s">
        <v>53</v>
      </c>
      <c r="E208" s="163" t="s">
        <v>53</v>
      </c>
      <c r="F208" s="163" t="s">
        <v>53</v>
      </c>
      <c r="G208" s="163" t="s">
        <v>53</v>
      </c>
      <c r="H208" s="163" t="s">
        <v>53</v>
      </c>
      <c r="I208" s="163" t="s">
        <v>53</v>
      </c>
      <c r="J208" s="163" t="s">
        <v>53</v>
      </c>
      <c r="K208" s="163" t="s">
        <v>53</v>
      </c>
      <c r="L208" s="163"/>
      <c r="M208" s="163"/>
      <c r="N208" s="165">
        <f aca="true" t="shared" si="29" ref="N208:S208">N209+N219+N220+N228+N232+N233+N234</f>
        <v>90107.48846999998</v>
      </c>
      <c r="O208" s="165">
        <f t="shared" si="29"/>
        <v>87345.01916</v>
      </c>
      <c r="P208" s="165">
        <f t="shared" si="29"/>
        <v>94670.532</v>
      </c>
      <c r="Q208" s="165">
        <f t="shared" si="29"/>
        <v>92519.00000000001</v>
      </c>
      <c r="R208" s="165">
        <f t="shared" si="29"/>
        <v>92519.00000000001</v>
      </c>
      <c r="S208" s="165">
        <f t="shared" si="29"/>
        <v>92519.00000000001</v>
      </c>
    </row>
    <row r="209" spans="1:19" s="356" customFormat="1" ht="24">
      <c r="A209" s="162" t="s">
        <v>341</v>
      </c>
      <c r="B209" s="162">
        <v>1101</v>
      </c>
      <c r="C209" s="163"/>
      <c r="D209" s="163"/>
      <c r="E209" s="163"/>
      <c r="F209" s="163"/>
      <c r="G209" s="163"/>
      <c r="H209" s="163"/>
      <c r="I209" s="163"/>
      <c r="J209" s="163"/>
      <c r="K209" s="163"/>
      <c r="L209" s="163"/>
      <c r="M209" s="163"/>
      <c r="N209" s="165">
        <f aca="true" t="shared" si="30" ref="N209:S209">SUM(N211:N218)</f>
        <v>77317.62671999999</v>
      </c>
      <c r="O209" s="165">
        <f t="shared" si="30"/>
        <v>75937.08359</v>
      </c>
      <c r="P209" s="165">
        <f t="shared" si="30"/>
        <v>78548.345</v>
      </c>
      <c r="Q209" s="165">
        <f t="shared" si="30"/>
        <v>77729.40000000001</v>
      </c>
      <c r="R209" s="165">
        <f t="shared" si="30"/>
        <v>77729.40000000001</v>
      </c>
      <c r="S209" s="165">
        <f t="shared" si="30"/>
        <v>77729.40000000001</v>
      </c>
    </row>
    <row r="210" spans="1:19" s="356" customFormat="1" ht="12">
      <c r="A210" s="162" t="s">
        <v>246</v>
      </c>
      <c r="B210" s="162"/>
      <c r="C210" s="163"/>
      <c r="D210" s="163"/>
      <c r="E210" s="163"/>
      <c r="F210" s="163"/>
      <c r="G210" s="163"/>
      <c r="H210" s="163"/>
      <c r="I210" s="163"/>
      <c r="J210" s="163"/>
      <c r="K210" s="163"/>
      <c r="L210" s="163"/>
      <c r="M210" s="163"/>
      <c r="N210" s="165"/>
      <c r="O210" s="165"/>
      <c r="P210" s="165"/>
      <c r="Q210" s="165"/>
      <c r="R210" s="165"/>
      <c r="S210" s="166"/>
    </row>
    <row r="211" spans="1:19" s="355" customFormat="1" ht="24" customHeight="1">
      <c r="A211" s="193"/>
      <c r="B211" s="193"/>
      <c r="C211" s="481" t="s">
        <v>174</v>
      </c>
      <c r="D211" s="481" t="s">
        <v>342</v>
      </c>
      <c r="E211" s="536" t="s">
        <v>176</v>
      </c>
      <c r="F211" s="481" t="s">
        <v>696</v>
      </c>
      <c r="G211" s="481" t="s">
        <v>343</v>
      </c>
      <c r="H211" s="481" t="s">
        <v>179</v>
      </c>
      <c r="I211" s="481" t="s">
        <v>344</v>
      </c>
      <c r="J211" s="481" t="s">
        <v>345</v>
      </c>
      <c r="K211" s="481" t="s">
        <v>346</v>
      </c>
      <c r="L211" s="179" t="s">
        <v>58</v>
      </c>
      <c r="M211" s="179" t="s">
        <v>64</v>
      </c>
      <c r="N211" s="221">
        <v>2320.2</v>
      </c>
      <c r="O211" s="221">
        <v>2320.14351</v>
      </c>
      <c r="P211" s="221">
        <v>2279.033</v>
      </c>
      <c r="Q211" s="221">
        <v>2279</v>
      </c>
      <c r="R211" s="221">
        <v>2279</v>
      </c>
      <c r="S211" s="403">
        <v>2279</v>
      </c>
    </row>
    <row r="212" spans="1:19" s="355" customFormat="1" ht="24" customHeight="1">
      <c r="A212" s="177"/>
      <c r="B212" s="177"/>
      <c r="C212" s="461"/>
      <c r="D212" s="461"/>
      <c r="E212" s="537"/>
      <c r="F212" s="461"/>
      <c r="G212" s="461"/>
      <c r="H212" s="461"/>
      <c r="I212" s="461"/>
      <c r="J212" s="461"/>
      <c r="K212" s="461"/>
      <c r="L212" s="157" t="s">
        <v>58</v>
      </c>
      <c r="M212" s="157" t="s">
        <v>71</v>
      </c>
      <c r="N212" s="180">
        <v>1840.4</v>
      </c>
      <c r="O212" s="180">
        <v>1807.06715</v>
      </c>
      <c r="P212" s="180">
        <v>1908.8</v>
      </c>
      <c r="Q212" s="180">
        <v>1907.8</v>
      </c>
      <c r="R212" s="180">
        <v>1907.8</v>
      </c>
      <c r="S212" s="181">
        <v>1907.8</v>
      </c>
    </row>
    <row r="213" spans="1:19" s="355" customFormat="1" ht="60" customHeight="1">
      <c r="A213" s="177"/>
      <c r="B213" s="177"/>
      <c r="C213" s="63" t="s">
        <v>168</v>
      </c>
      <c r="D213" s="63" t="s">
        <v>347</v>
      </c>
      <c r="E213" s="65" t="s">
        <v>348</v>
      </c>
      <c r="F213" s="63"/>
      <c r="G213" s="63"/>
      <c r="H213" s="63"/>
      <c r="I213" s="63" t="s">
        <v>194</v>
      </c>
      <c r="J213" s="63" t="s">
        <v>197</v>
      </c>
      <c r="K213" s="63" t="s">
        <v>191</v>
      </c>
      <c r="L213" s="157" t="s">
        <v>58</v>
      </c>
      <c r="M213" s="157" t="s">
        <v>65</v>
      </c>
      <c r="N213" s="180">
        <v>48604.60415</v>
      </c>
      <c r="O213" s="180">
        <v>47443.59298</v>
      </c>
      <c r="P213" s="180">
        <v>50133.484</v>
      </c>
      <c r="Q213" s="180">
        <v>49393.3</v>
      </c>
      <c r="R213" s="180">
        <v>49393.3</v>
      </c>
      <c r="S213" s="181">
        <v>49393.3</v>
      </c>
    </row>
    <row r="214" spans="1:19" s="355" customFormat="1" ht="96.75" customHeight="1">
      <c r="A214" s="177"/>
      <c r="B214" s="177"/>
      <c r="C214" s="63" t="s">
        <v>180</v>
      </c>
      <c r="D214" s="63" t="s">
        <v>181</v>
      </c>
      <c r="E214" s="63" t="s">
        <v>182</v>
      </c>
      <c r="F214" s="63" t="s">
        <v>697</v>
      </c>
      <c r="G214" s="63" t="s">
        <v>178</v>
      </c>
      <c r="H214" s="63" t="s">
        <v>187</v>
      </c>
      <c r="I214" s="461" t="s">
        <v>199</v>
      </c>
      <c r="J214" s="461" t="s">
        <v>276</v>
      </c>
      <c r="K214" s="461" t="s">
        <v>200</v>
      </c>
      <c r="L214" s="157" t="s">
        <v>58</v>
      </c>
      <c r="M214" s="157" t="s">
        <v>49</v>
      </c>
      <c r="N214" s="198"/>
      <c r="O214" s="198"/>
      <c r="P214" s="198">
        <v>13.3</v>
      </c>
      <c r="Q214" s="198"/>
      <c r="R214" s="198"/>
      <c r="S214" s="361"/>
    </row>
    <row r="215" spans="1:19" s="355" customFormat="1" ht="70.5" customHeight="1">
      <c r="A215" s="177"/>
      <c r="B215" s="177"/>
      <c r="C215" s="480" t="s">
        <v>698</v>
      </c>
      <c r="D215" s="63" t="s">
        <v>184</v>
      </c>
      <c r="E215" s="63" t="s">
        <v>185</v>
      </c>
      <c r="F215" s="91"/>
      <c r="G215" s="63"/>
      <c r="H215" s="63"/>
      <c r="I215" s="461"/>
      <c r="J215" s="461"/>
      <c r="K215" s="461"/>
      <c r="L215" s="157"/>
      <c r="M215" s="157"/>
      <c r="N215" s="180"/>
      <c r="O215" s="180"/>
      <c r="P215" s="180"/>
      <c r="Q215" s="180"/>
      <c r="R215" s="180"/>
      <c r="S215" s="181"/>
    </row>
    <row r="216" spans="1:19" s="355" customFormat="1" ht="120">
      <c r="A216" s="177"/>
      <c r="B216" s="177"/>
      <c r="C216" s="480"/>
      <c r="D216" s="63"/>
      <c r="E216" s="63"/>
      <c r="F216" s="63"/>
      <c r="G216" s="63"/>
      <c r="H216" s="63"/>
      <c r="I216" s="63" t="s">
        <v>965</v>
      </c>
      <c r="J216" s="63" t="s">
        <v>349</v>
      </c>
      <c r="K216" s="63" t="s">
        <v>350</v>
      </c>
      <c r="L216" s="157"/>
      <c r="M216" s="157"/>
      <c r="N216" s="180"/>
      <c r="O216" s="180"/>
      <c r="P216" s="180"/>
      <c r="Q216" s="180"/>
      <c r="R216" s="180"/>
      <c r="S216" s="181"/>
    </row>
    <row r="217" spans="1:19" s="355" customFormat="1" ht="71.25" customHeight="1">
      <c r="A217" s="177"/>
      <c r="B217" s="177"/>
      <c r="C217" s="63"/>
      <c r="D217" s="63"/>
      <c r="E217" s="63"/>
      <c r="F217" s="63"/>
      <c r="G217" s="63"/>
      <c r="H217" s="63"/>
      <c r="I217" s="63" t="s">
        <v>351</v>
      </c>
      <c r="J217" s="63" t="s">
        <v>352</v>
      </c>
      <c r="K217" s="63" t="s">
        <v>353</v>
      </c>
      <c r="L217" s="157" t="s">
        <v>76</v>
      </c>
      <c r="M217" s="157" t="s">
        <v>66</v>
      </c>
      <c r="N217" s="180">
        <v>16341.89181</v>
      </c>
      <c r="O217" s="180">
        <v>16172.89629</v>
      </c>
      <c r="P217" s="180">
        <v>16251.552</v>
      </c>
      <c r="Q217" s="180">
        <v>16205.2</v>
      </c>
      <c r="R217" s="180">
        <v>16205.2</v>
      </c>
      <c r="S217" s="181">
        <v>16205.2</v>
      </c>
    </row>
    <row r="218" spans="1:19" s="355" customFormat="1" ht="60">
      <c r="A218" s="177"/>
      <c r="B218" s="177"/>
      <c r="C218" s="63"/>
      <c r="D218" s="63"/>
      <c r="E218" s="63"/>
      <c r="F218" s="63"/>
      <c r="G218" s="63"/>
      <c r="H218" s="63"/>
      <c r="I218" s="63" t="s">
        <v>288</v>
      </c>
      <c r="J218" s="55" t="s">
        <v>197</v>
      </c>
      <c r="K218" s="61" t="s">
        <v>289</v>
      </c>
      <c r="L218" s="157" t="s">
        <v>69</v>
      </c>
      <c r="M218" s="157" t="s">
        <v>65</v>
      </c>
      <c r="N218" s="180">
        <v>8210.53076</v>
      </c>
      <c r="O218" s="180">
        <v>8193.38366</v>
      </c>
      <c r="P218" s="180">
        <v>7962.176</v>
      </c>
      <c r="Q218" s="180">
        <v>7944.1</v>
      </c>
      <c r="R218" s="180">
        <v>7944.1</v>
      </c>
      <c r="S218" s="181">
        <v>7944.1</v>
      </c>
    </row>
    <row r="219" spans="1:19" s="356" customFormat="1" ht="61.5" customHeight="1">
      <c r="A219" s="162" t="s">
        <v>93</v>
      </c>
      <c r="B219" s="162" t="s">
        <v>94</v>
      </c>
      <c r="C219" s="92" t="s">
        <v>168</v>
      </c>
      <c r="D219" s="92" t="s">
        <v>701</v>
      </c>
      <c r="E219" s="92" t="s">
        <v>170</v>
      </c>
      <c r="F219" s="92"/>
      <c r="G219" s="92"/>
      <c r="H219" s="92"/>
      <c r="I219" s="92" t="s">
        <v>356</v>
      </c>
      <c r="J219" s="92" t="s">
        <v>197</v>
      </c>
      <c r="K219" s="93" t="s">
        <v>173</v>
      </c>
      <c r="L219" s="290" t="s">
        <v>58</v>
      </c>
      <c r="M219" s="290" t="s">
        <v>65</v>
      </c>
      <c r="N219" s="291">
        <v>739.188</v>
      </c>
      <c r="O219" s="291">
        <v>739.188</v>
      </c>
      <c r="P219" s="291">
        <v>739.508</v>
      </c>
      <c r="Q219" s="291">
        <v>739.5</v>
      </c>
      <c r="R219" s="291">
        <v>739.5</v>
      </c>
      <c r="S219" s="408">
        <v>739.5</v>
      </c>
    </row>
    <row r="220" spans="1:19" s="356" customFormat="1" ht="108" customHeight="1">
      <c r="A220" s="162" t="s">
        <v>10</v>
      </c>
      <c r="B220" s="162" t="s">
        <v>95</v>
      </c>
      <c r="C220" s="162" t="s">
        <v>57</v>
      </c>
      <c r="D220" s="162" t="s">
        <v>57</v>
      </c>
      <c r="E220" s="162" t="s">
        <v>57</v>
      </c>
      <c r="F220" s="162" t="s">
        <v>57</v>
      </c>
      <c r="G220" s="162" t="s">
        <v>57</v>
      </c>
      <c r="H220" s="162" t="s">
        <v>57</v>
      </c>
      <c r="I220" s="162" t="s">
        <v>57</v>
      </c>
      <c r="J220" s="162" t="s">
        <v>57</v>
      </c>
      <c r="K220" s="162" t="s">
        <v>57</v>
      </c>
      <c r="L220" s="163" t="s">
        <v>58</v>
      </c>
      <c r="M220" s="163" t="s">
        <v>49</v>
      </c>
      <c r="N220" s="165">
        <f aca="true" t="shared" si="31" ref="N220:S220">SUM(N222:N227)</f>
        <v>10652.726040000001</v>
      </c>
      <c r="O220" s="165">
        <f t="shared" si="31"/>
        <v>10275.42562</v>
      </c>
      <c r="P220" s="165">
        <f t="shared" si="31"/>
        <v>9929.679</v>
      </c>
      <c r="Q220" s="165">
        <f t="shared" si="31"/>
        <v>9797.1</v>
      </c>
      <c r="R220" s="165">
        <f t="shared" si="31"/>
        <v>9797.1</v>
      </c>
      <c r="S220" s="165">
        <f t="shared" si="31"/>
        <v>9797.1</v>
      </c>
    </row>
    <row r="221" spans="1:19" s="355" customFormat="1" ht="12">
      <c r="A221" s="193" t="s">
        <v>246</v>
      </c>
      <c r="B221" s="193"/>
      <c r="C221" s="193"/>
      <c r="D221" s="193"/>
      <c r="E221" s="193"/>
      <c r="F221" s="193"/>
      <c r="G221" s="193"/>
      <c r="H221" s="193"/>
      <c r="I221" s="193"/>
      <c r="J221" s="193"/>
      <c r="K221" s="193"/>
      <c r="L221" s="187"/>
      <c r="M221" s="187"/>
      <c r="N221" s="82"/>
      <c r="O221" s="82"/>
      <c r="P221" s="82"/>
      <c r="Q221" s="82"/>
      <c r="R221" s="82"/>
      <c r="S221" s="83"/>
    </row>
    <row r="222" spans="1:19" s="355" customFormat="1" ht="50.25" customHeight="1">
      <c r="A222" s="193" t="s">
        <v>357</v>
      </c>
      <c r="B222" s="193"/>
      <c r="C222" s="94" t="s">
        <v>168</v>
      </c>
      <c r="D222" s="94" t="s">
        <v>358</v>
      </c>
      <c r="E222" s="95" t="s">
        <v>170</v>
      </c>
      <c r="F222" s="38"/>
      <c r="G222" s="38"/>
      <c r="H222" s="38"/>
      <c r="I222" s="38" t="s">
        <v>359</v>
      </c>
      <c r="J222" s="38" t="s">
        <v>360</v>
      </c>
      <c r="K222" s="38" t="s">
        <v>361</v>
      </c>
      <c r="L222" s="179"/>
      <c r="M222" s="179"/>
      <c r="N222" s="221">
        <v>8190.41776</v>
      </c>
      <c r="O222" s="221">
        <v>8190.41776</v>
      </c>
      <c r="P222" s="221">
        <f>8001.979+160</f>
        <v>8161.979</v>
      </c>
      <c r="Q222" s="221">
        <f>7869.4+160</f>
        <v>8029.4</v>
      </c>
      <c r="R222" s="221">
        <f>7869.4+160</f>
        <v>8029.4</v>
      </c>
      <c r="S222" s="403">
        <f>7869.4+160</f>
        <v>8029.4</v>
      </c>
    </row>
    <row r="223" spans="1:19" s="355" customFormat="1" ht="48">
      <c r="A223" s="177"/>
      <c r="B223" s="177"/>
      <c r="C223" s="21" t="s">
        <v>180</v>
      </c>
      <c r="D223" s="21" t="s">
        <v>362</v>
      </c>
      <c r="E223" s="96" t="s">
        <v>182</v>
      </c>
      <c r="F223" s="461" t="s">
        <v>697</v>
      </c>
      <c r="G223" s="461" t="s">
        <v>178</v>
      </c>
      <c r="H223" s="461" t="s">
        <v>187</v>
      </c>
      <c r="I223" s="461" t="s">
        <v>199</v>
      </c>
      <c r="J223" s="461" t="s">
        <v>276</v>
      </c>
      <c r="K223" s="461" t="s">
        <v>200</v>
      </c>
      <c r="L223" s="157"/>
      <c r="M223" s="157"/>
      <c r="N223" s="180"/>
      <c r="O223" s="180"/>
      <c r="P223" s="180"/>
      <c r="Q223" s="180"/>
      <c r="R223" s="180"/>
      <c r="S223" s="181"/>
    </row>
    <row r="224" spans="1:19" s="355" customFormat="1" ht="96">
      <c r="A224" s="177"/>
      <c r="B224" s="177"/>
      <c r="C224" s="21" t="s">
        <v>698</v>
      </c>
      <c r="D224" s="21" t="s">
        <v>184</v>
      </c>
      <c r="E224" s="96" t="s">
        <v>185</v>
      </c>
      <c r="F224" s="461"/>
      <c r="G224" s="461"/>
      <c r="H224" s="461"/>
      <c r="I224" s="508"/>
      <c r="J224" s="508"/>
      <c r="K224" s="508"/>
      <c r="L224" s="157"/>
      <c r="M224" s="157"/>
      <c r="N224" s="180"/>
      <c r="O224" s="180"/>
      <c r="P224" s="180"/>
      <c r="Q224" s="180"/>
      <c r="R224" s="180"/>
      <c r="S224" s="181"/>
    </row>
    <row r="225" spans="1:19" s="355" customFormat="1" ht="37.5" customHeight="1">
      <c r="A225" s="177"/>
      <c r="B225" s="177"/>
      <c r="C225" s="462" t="s">
        <v>363</v>
      </c>
      <c r="D225" s="462" t="s">
        <v>364</v>
      </c>
      <c r="E225" s="541" t="s">
        <v>365</v>
      </c>
      <c r="F225" s="462" t="s">
        <v>366</v>
      </c>
      <c r="G225" s="21" t="s">
        <v>367</v>
      </c>
      <c r="H225" s="21" t="s">
        <v>368</v>
      </c>
      <c r="I225" s="21" t="s">
        <v>369</v>
      </c>
      <c r="J225" s="21" t="s">
        <v>197</v>
      </c>
      <c r="K225" s="21" t="s">
        <v>370</v>
      </c>
      <c r="L225" s="195"/>
      <c r="M225" s="195"/>
      <c r="N225" s="197">
        <v>2092.30828</v>
      </c>
      <c r="O225" s="197">
        <v>2085.00786</v>
      </c>
      <c r="P225" s="197">
        <v>1767.7</v>
      </c>
      <c r="Q225" s="197">
        <v>1767.7</v>
      </c>
      <c r="R225" s="197">
        <v>1767.7</v>
      </c>
      <c r="S225" s="437">
        <v>1767.7</v>
      </c>
    </row>
    <row r="226" spans="1:19" s="355" customFormat="1" ht="48" customHeight="1">
      <c r="A226" s="177"/>
      <c r="B226" s="177"/>
      <c r="C226" s="462"/>
      <c r="D226" s="462"/>
      <c r="E226" s="541"/>
      <c r="F226" s="462"/>
      <c r="G226" s="21"/>
      <c r="H226" s="21"/>
      <c r="I226" s="21" t="s">
        <v>237</v>
      </c>
      <c r="J226" s="21" t="s">
        <v>197</v>
      </c>
      <c r="K226" s="21" t="s">
        <v>205</v>
      </c>
      <c r="L226" s="195"/>
      <c r="M226" s="195"/>
      <c r="N226" s="197"/>
      <c r="O226" s="197"/>
      <c r="P226" s="197"/>
      <c r="Q226" s="197"/>
      <c r="R226" s="197"/>
      <c r="S226" s="437"/>
    </row>
    <row r="227" spans="1:19" s="355" customFormat="1" ht="36.75" customHeight="1">
      <c r="A227" s="185"/>
      <c r="B227" s="288" t="s">
        <v>1052</v>
      </c>
      <c r="C227" s="532"/>
      <c r="D227" s="532"/>
      <c r="E227" s="542"/>
      <c r="F227" s="532"/>
      <c r="G227" s="386"/>
      <c r="H227" s="386"/>
      <c r="I227" s="439" t="s">
        <v>1067</v>
      </c>
      <c r="J227" s="362" t="s">
        <v>197</v>
      </c>
      <c r="K227" s="362" t="s">
        <v>1068</v>
      </c>
      <c r="L227" s="161"/>
      <c r="M227" s="161"/>
      <c r="N227" s="210">
        <v>370</v>
      </c>
      <c r="O227" s="210">
        <v>0</v>
      </c>
      <c r="P227" s="210">
        <v>0</v>
      </c>
      <c r="Q227" s="210">
        <v>0</v>
      </c>
      <c r="R227" s="210">
        <v>0</v>
      </c>
      <c r="S227" s="438">
        <v>0</v>
      </c>
    </row>
    <row r="228" spans="1:19" s="356" customFormat="1" ht="84" customHeight="1">
      <c r="A228" s="502" t="s">
        <v>11</v>
      </c>
      <c r="B228" s="292" t="s">
        <v>96</v>
      </c>
      <c r="C228" s="72" t="s">
        <v>699</v>
      </c>
      <c r="D228" s="72" t="s">
        <v>371</v>
      </c>
      <c r="E228" s="72" t="s">
        <v>372</v>
      </c>
      <c r="F228" s="72" t="s">
        <v>700</v>
      </c>
      <c r="G228" s="72" t="s">
        <v>373</v>
      </c>
      <c r="H228" s="72" t="s">
        <v>374</v>
      </c>
      <c r="I228" s="458" t="s">
        <v>375</v>
      </c>
      <c r="J228" s="458" t="s">
        <v>360</v>
      </c>
      <c r="K228" s="458" t="s">
        <v>179</v>
      </c>
      <c r="L228" s="286" t="s">
        <v>58</v>
      </c>
      <c r="M228" s="286" t="s">
        <v>76</v>
      </c>
      <c r="N228" s="258">
        <v>0</v>
      </c>
      <c r="O228" s="258">
        <v>0</v>
      </c>
      <c r="P228" s="258">
        <v>1000</v>
      </c>
      <c r="Q228" s="258">
        <v>0</v>
      </c>
      <c r="R228" s="258">
        <v>0</v>
      </c>
      <c r="S228" s="287">
        <v>0</v>
      </c>
    </row>
    <row r="229" spans="1:19" s="356" customFormat="1" ht="96">
      <c r="A229" s="502"/>
      <c r="B229" s="292"/>
      <c r="C229" s="72" t="s">
        <v>376</v>
      </c>
      <c r="D229" s="72" t="s">
        <v>377</v>
      </c>
      <c r="E229" s="72" t="s">
        <v>378</v>
      </c>
      <c r="F229" s="72" t="s">
        <v>379</v>
      </c>
      <c r="G229" s="72" t="s">
        <v>380</v>
      </c>
      <c r="H229" s="72" t="s">
        <v>381</v>
      </c>
      <c r="I229" s="458"/>
      <c r="J229" s="458"/>
      <c r="K229" s="458"/>
      <c r="L229" s="286"/>
      <c r="M229" s="286"/>
      <c r="N229" s="258"/>
      <c r="O229" s="258"/>
      <c r="P229" s="258"/>
      <c r="Q229" s="258"/>
      <c r="R229" s="258"/>
      <c r="S229" s="287"/>
    </row>
    <row r="230" spans="1:19" s="356" customFormat="1" ht="60">
      <c r="A230" s="502"/>
      <c r="B230" s="292"/>
      <c r="C230" s="72" t="s">
        <v>168</v>
      </c>
      <c r="D230" s="72" t="s">
        <v>382</v>
      </c>
      <c r="E230" s="72" t="s">
        <v>170</v>
      </c>
      <c r="F230" s="72" t="s">
        <v>383</v>
      </c>
      <c r="G230" s="72" t="s">
        <v>384</v>
      </c>
      <c r="H230" s="72" t="s">
        <v>385</v>
      </c>
      <c r="I230" s="458"/>
      <c r="J230" s="458"/>
      <c r="K230" s="458"/>
      <c r="L230" s="286"/>
      <c r="M230" s="286"/>
      <c r="N230" s="258"/>
      <c r="O230" s="258"/>
      <c r="P230" s="258"/>
      <c r="Q230" s="258"/>
      <c r="R230" s="258"/>
      <c r="S230" s="287"/>
    </row>
    <row r="231" spans="1:19" s="356" customFormat="1" ht="72">
      <c r="A231" s="499"/>
      <c r="B231" s="293"/>
      <c r="C231" s="98" t="s">
        <v>386</v>
      </c>
      <c r="D231" s="98" t="s">
        <v>387</v>
      </c>
      <c r="E231" s="98" t="s">
        <v>388</v>
      </c>
      <c r="F231" s="99"/>
      <c r="G231" s="99"/>
      <c r="H231" s="99"/>
      <c r="I231" s="459"/>
      <c r="J231" s="459"/>
      <c r="K231" s="459"/>
      <c r="L231" s="230"/>
      <c r="M231" s="230"/>
      <c r="N231" s="231"/>
      <c r="O231" s="231"/>
      <c r="P231" s="231"/>
      <c r="Q231" s="231"/>
      <c r="R231" s="231"/>
      <c r="S231" s="294"/>
    </row>
    <row r="232" spans="1:19" s="356" customFormat="1" ht="156.75" customHeight="1">
      <c r="A232" s="162" t="s">
        <v>12</v>
      </c>
      <c r="B232" s="162" t="s">
        <v>97</v>
      </c>
      <c r="C232" s="100" t="s">
        <v>168</v>
      </c>
      <c r="D232" s="101" t="s">
        <v>389</v>
      </c>
      <c r="E232" s="102" t="s">
        <v>348</v>
      </c>
      <c r="F232" s="101" t="s">
        <v>171</v>
      </c>
      <c r="G232" s="101" t="s">
        <v>172</v>
      </c>
      <c r="H232" s="101" t="s">
        <v>173</v>
      </c>
      <c r="I232" s="101" t="s">
        <v>390</v>
      </c>
      <c r="J232" s="101" t="s">
        <v>391</v>
      </c>
      <c r="K232" s="103" t="s">
        <v>173</v>
      </c>
      <c r="L232" s="163" t="s">
        <v>58</v>
      </c>
      <c r="M232" s="163" t="s">
        <v>65</v>
      </c>
      <c r="N232" s="165">
        <v>63.846</v>
      </c>
      <c r="O232" s="165">
        <v>63.846</v>
      </c>
      <c r="P232" s="165">
        <v>253</v>
      </c>
      <c r="Q232" s="165">
        <v>253</v>
      </c>
      <c r="R232" s="165">
        <v>253</v>
      </c>
      <c r="S232" s="166">
        <v>253</v>
      </c>
    </row>
    <row r="233" spans="1:19" s="356" customFormat="1" ht="60">
      <c r="A233" s="162" t="s">
        <v>98</v>
      </c>
      <c r="B233" s="162" t="s">
        <v>99</v>
      </c>
      <c r="C233" s="95" t="s">
        <v>168</v>
      </c>
      <c r="D233" s="38" t="s">
        <v>702</v>
      </c>
      <c r="E233" s="118" t="s">
        <v>348</v>
      </c>
      <c r="F233" s="201" t="s">
        <v>57</v>
      </c>
      <c r="G233" s="201" t="s">
        <v>57</v>
      </c>
      <c r="H233" s="201" t="s">
        <v>57</v>
      </c>
      <c r="I233" s="1" t="s">
        <v>854</v>
      </c>
      <c r="J233" s="1" t="s">
        <v>197</v>
      </c>
      <c r="K233" s="1" t="s">
        <v>392</v>
      </c>
      <c r="L233" s="163" t="s">
        <v>58</v>
      </c>
      <c r="M233" s="163" t="s">
        <v>47</v>
      </c>
      <c r="N233" s="165">
        <v>1004.62576</v>
      </c>
      <c r="O233" s="165">
        <v>0</v>
      </c>
      <c r="P233" s="165">
        <v>4000</v>
      </c>
      <c r="Q233" s="165">
        <v>4000</v>
      </c>
      <c r="R233" s="165">
        <v>4000</v>
      </c>
      <c r="S233" s="192">
        <v>4000</v>
      </c>
    </row>
    <row r="234" spans="1:19" s="356" customFormat="1" ht="63.75" customHeight="1">
      <c r="A234" s="162" t="s">
        <v>100</v>
      </c>
      <c r="B234" s="162" t="s">
        <v>101</v>
      </c>
      <c r="C234" s="104" t="s">
        <v>168</v>
      </c>
      <c r="D234" s="104" t="s">
        <v>702</v>
      </c>
      <c r="E234" s="120" t="s">
        <v>348</v>
      </c>
      <c r="F234" s="162" t="s">
        <v>57</v>
      </c>
      <c r="G234" s="162" t="s">
        <v>57</v>
      </c>
      <c r="H234" s="162" t="s">
        <v>57</v>
      </c>
      <c r="I234" s="187" t="s">
        <v>711</v>
      </c>
      <c r="J234" s="193" t="s">
        <v>197</v>
      </c>
      <c r="K234" s="187" t="s">
        <v>712</v>
      </c>
      <c r="L234" s="163" t="s">
        <v>49</v>
      </c>
      <c r="M234" s="163" t="s">
        <v>58</v>
      </c>
      <c r="N234" s="165">
        <v>329.47595</v>
      </c>
      <c r="O234" s="165">
        <v>329.47595</v>
      </c>
      <c r="P234" s="165">
        <v>200</v>
      </c>
      <c r="Q234" s="165">
        <v>0</v>
      </c>
      <c r="R234" s="162">
        <v>0</v>
      </c>
      <c r="S234" s="162">
        <v>0</v>
      </c>
    </row>
    <row r="235" spans="1:19" s="356" customFormat="1" ht="48">
      <c r="A235" s="295"/>
      <c r="B235" s="295"/>
      <c r="C235" s="56"/>
      <c r="D235" s="56"/>
      <c r="E235" s="124"/>
      <c r="F235" s="295"/>
      <c r="G235" s="295"/>
      <c r="H235" s="295"/>
      <c r="I235" s="161" t="s">
        <v>713</v>
      </c>
      <c r="J235" s="185" t="s">
        <v>197</v>
      </c>
      <c r="K235" s="161" t="s">
        <v>714</v>
      </c>
      <c r="L235" s="228"/>
      <c r="M235" s="228"/>
      <c r="N235" s="296"/>
      <c r="O235" s="296"/>
      <c r="P235" s="296"/>
      <c r="Q235" s="296"/>
      <c r="R235" s="295"/>
      <c r="S235" s="295"/>
    </row>
    <row r="236" spans="1:19" s="356" customFormat="1" ht="108">
      <c r="A236" s="162" t="s">
        <v>13</v>
      </c>
      <c r="B236" s="162" t="s">
        <v>102</v>
      </c>
      <c r="C236" s="163" t="s">
        <v>53</v>
      </c>
      <c r="D236" s="163" t="s">
        <v>53</v>
      </c>
      <c r="E236" s="163" t="s">
        <v>53</v>
      </c>
      <c r="F236" s="163" t="s">
        <v>53</v>
      </c>
      <c r="G236" s="163" t="s">
        <v>53</v>
      </c>
      <c r="H236" s="163" t="s">
        <v>53</v>
      </c>
      <c r="I236" s="163" t="s">
        <v>53</v>
      </c>
      <c r="J236" s="163" t="s">
        <v>53</v>
      </c>
      <c r="K236" s="163" t="s">
        <v>53</v>
      </c>
      <c r="L236" s="163"/>
      <c r="M236" s="163"/>
      <c r="N236" s="165">
        <f aca="true" t="shared" si="32" ref="N236:S236">N237+N243</f>
        <v>5463.9140099999995</v>
      </c>
      <c r="O236" s="165">
        <f t="shared" si="32"/>
        <v>5270.796509999999</v>
      </c>
      <c r="P236" s="165">
        <f t="shared" si="32"/>
        <v>6279.719</v>
      </c>
      <c r="Q236" s="165">
        <f>Q237+Q243</f>
        <v>7629.800000000001</v>
      </c>
      <c r="R236" s="165">
        <f>R237+R243</f>
        <v>8329.800000000001</v>
      </c>
      <c r="S236" s="165">
        <f t="shared" si="32"/>
        <v>6329.800000000001</v>
      </c>
    </row>
    <row r="237" spans="1:19" s="355" customFormat="1" ht="60">
      <c r="A237" s="162" t="s">
        <v>103</v>
      </c>
      <c r="B237" s="193" t="s">
        <v>104</v>
      </c>
      <c r="C237" s="187" t="s">
        <v>53</v>
      </c>
      <c r="D237" s="187" t="s">
        <v>53</v>
      </c>
      <c r="E237" s="187" t="s">
        <v>53</v>
      </c>
      <c r="F237" s="187" t="s">
        <v>53</v>
      </c>
      <c r="G237" s="187" t="s">
        <v>53</v>
      </c>
      <c r="H237" s="187" t="s">
        <v>53</v>
      </c>
      <c r="I237" s="187" t="s">
        <v>53</v>
      </c>
      <c r="J237" s="187" t="s">
        <v>53</v>
      </c>
      <c r="K237" s="187" t="s">
        <v>53</v>
      </c>
      <c r="L237" s="163"/>
      <c r="M237" s="163"/>
      <c r="N237" s="165">
        <f aca="true" t="shared" si="33" ref="N237:S237">N238</f>
        <v>319.88800000000003</v>
      </c>
      <c r="O237" s="165">
        <f t="shared" si="33"/>
        <v>204.888</v>
      </c>
      <c r="P237" s="165">
        <f t="shared" si="33"/>
        <v>373</v>
      </c>
      <c r="Q237" s="165">
        <f t="shared" si="33"/>
        <v>1272.9</v>
      </c>
      <c r="R237" s="165">
        <f t="shared" si="33"/>
        <v>1472.9</v>
      </c>
      <c r="S237" s="165">
        <f t="shared" si="33"/>
        <v>1472.9</v>
      </c>
    </row>
    <row r="238" spans="1:19" s="356" customFormat="1" ht="23.25" customHeight="1">
      <c r="A238" s="167" t="s">
        <v>105</v>
      </c>
      <c r="B238" s="167" t="s">
        <v>106</v>
      </c>
      <c r="C238" s="167" t="s">
        <v>57</v>
      </c>
      <c r="D238" s="167" t="s">
        <v>57</v>
      </c>
      <c r="E238" s="167" t="s">
        <v>57</v>
      </c>
      <c r="F238" s="167" t="s">
        <v>57</v>
      </c>
      <c r="G238" s="167" t="s">
        <v>57</v>
      </c>
      <c r="H238" s="167" t="s">
        <v>57</v>
      </c>
      <c r="I238" s="167" t="s">
        <v>57</v>
      </c>
      <c r="J238" s="167" t="s">
        <v>57</v>
      </c>
      <c r="K238" s="167" t="s">
        <v>57</v>
      </c>
      <c r="L238" s="169" t="s">
        <v>65</v>
      </c>
      <c r="M238" s="169" t="s">
        <v>48</v>
      </c>
      <c r="N238" s="170">
        <f aca="true" t="shared" si="34" ref="N238:S238">SUM(N239:N242)</f>
        <v>319.88800000000003</v>
      </c>
      <c r="O238" s="170">
        <f t="shared" si="34"/>
        <v>204.888</v>
      </c>
      <c r="P238" s="170">
        <f t="shared" si="34"/>
        <v>373</v>
      </c>
      <c r="Q238" s="170">
        <f>SUM(Q239:Q242)</f>
        <v>1272.9</v>
      </c>
      <c r="R238" s="170">
        <f>SUM(R239:R242)</f>
        <v>1472.9</v>
      </c>
      <c r="S238" s="170">
        <f t="shared" si="34"/>
        <v>1472.9</v>
      </c>
    </row>
    <row r="239" spans="1:19" s="355" customFormat="1" ht="60">
      <c r="A239" s="177"/>
      <c r="B239" s="215"/>
      <c r="C239" s="21" t="s">
        <v>168</v>
      </c>
      <c r="D239" s="21" t="s">
        <v>710</v>
      </c>
      <c r="E239" s="387" t="s">
        <v>348</v>
      </c>
      <c r="F239" s="177"/>
      <c r="G239" s="177"/>
      <c r="H239" s="177"/>
      <c r="I239" s="23" t="s">
        <v>838</v>
      </c>
      <c r="J239" s="23" t="s">
        <v>197</v>
      </c>
      <c r="K239" s="23" t="s">
        <v>799</v>
      </c>
      <c r="L239" s="195"/>
      <c r="M239" s="195"/>
      <c r="N239" s="363">
        <f>72.888+135</f>
        <v>207.888</v>
      </c>
      <c r="O239" s="363">
        <v>92.888</v>
      </c>
      <c r="P239" s="363">
        <v>373</v>
      </c>
      <c r="Q239" s="363">
        <v>1272.9</v>
      </c>
      <c r="R239" s="363">
        <v>1472.9</v>
      </c>
      <c r="S239" s="363">
        <v>1472.9</v>
      </c>
    </row>
    <row r="240" spans="1:19" s="355" customFormat="1" ht="60">
      <c r="A240" s="177"/>
      <c r="B240" s="215"/>
      <c r="C240" s="21"/>
      <c r="D240" s="21"/>
      <c r="E240" s="387"/>
      <c r="F240" s="177"/>
      <c r="G240" s="177"/>
      <c r="H240" s="177"/>
      <c r="I240" s="23" t="s">
        <v>1253</v>
      </c>
      <c r="J240" s="23" t="s">
        <v>197</v>
      </c>
      <c r="K240" s="23" t="s">
        <v>1252</v>
      </c>
      <c r="L240" s="195"/>
      <c r="M240" s="195"/>
      <c r="N240" s="363"/>
      <c r="O240" s="363"/>
      <c r="P240" s="363"/>
      <c r="Q240" s="363"/>
      <c r="R240" s="363"/>
      <c r="S240" s="363"/>
    </row>
    <row r="241" spans="1:19" s="355" customFormat="1" ht="48">
      <c r="A241" s="177"/>
      <c r="B241" s="215"/>
      <c r="C241" s="21"/>
      <c r="D241" s="21"/>
      <c r="E241" s="387"/>
      <c r="F241" s="177"/>
      <c r="G241" s="177"/>
      <c r="H241" s="177"/>
      <c r="I241" s="23" t="s">
        <v>237</v>
      </c>
      <c r="J241" s="23" t="s">
        <v>197</v>
      </c>
      <c r="K241" s="23" t="s">
        <v>205</v>
      </c>
      <c r="L241" s="195"/>
      <c r="M241" s="195"/>
      <c r="N241" s="363"/>
      <c r="O241" s="363"/>
      <c r="P241" s="363"/>
      <c r="Q241" s="363"/>
      <c r="R241" s="363"/>
      <c r="S241" s="363"/>
    </row>
    <row r="242" spans="1:19" s="355" customFormat="1" ht="84">
      <c r="A242" s="177"/>
      <c r="B242" s="215" t="s">
        <v>828</v>
      </c>
      <c r="C242" s="177"/>
      <c r="D242" s="177"/>
      <c r="E242" s="177"/>
      <c r="F242" s="177"/>
      <c r="G242" s="177"/>
      <c r="H242" s="177"/>
      <c r="I242" s="23" t="s">
        <v>913</v>
      </c>
      <c r="J242" s="23" t="s">
        <v>197</v>
      </c>
      <c r="K242" s="23" t="s">
        <v>914</v>
      </c>
      <c r="L242" s="195"/>
      <c r="M242" s="195"/>
      <c r="N242" s="363">
        <v>112</v>
      </c>
      <c r="O242" s="363">
        <v>112</v>
      </c>
      <c r="P242" s="363">
        <v>0</v>
      </c>
      <c r="Q242" s="363">
        <v>0</v>
      </c>
      <c r="R242" s="363">
        <v>0</v>
      </c>
      <c r="S242" s="363">
        <v>0</v>
      </c>
    </row>
    <row r="243" spans="1:19" s="356" customFormat="1" ht="96">
      <c r="A243" s="162" t="s">
        <v>14</v>
      </c>
      <c r="B243" s="162" t="s">
        <v>107</v>
      </c>
      <c r="C243" s="163" t="s">
        <v>53</v>
      </c>
      <c r="D243" s="163" t="s">
        <v>53</v>
      </c>
      <c r="E243" s="163" t="s">
        <v>53</v>
      </c>
      <c r="F243" s="163" t="s">
        <v>53</v>
      </c>
      <c r="G243" s="163" t="s">
        <v>53</v>
      </c>
      <c r="H243" s="163" t="s">
        <v>53</v>
      </c>
      <c r="I243" s="163" t="s">
        <v>53</v>
      </c>
      <c r="J243" s="163" t="s">
        <v>53</v>
      </c>
      <c r="K243" s="163" t="s">
        <v>53</v>
      </c>
      <c r="L243" s="163"/>
      <c r="M243" s="163"/>
      <c r="N243" s="165">
        <f aca="true" t="shared" si="35" ref="N243:S243">N244+N256+N257+N258+N263</f>
        <v>5144.02601</v>
      </c>
      <c r="O243" s="165">
        <f t="shared" si="35"/>
        <v>5065.908509999999</v>
      </c>
      <c r="P243" s="165">
        <f t="shared" si="35"/>
        <v>5906.719</v>
      </c>
      <c r="Q243" s="165">
        <f t="shared" si="35"/>
        <v>6356.900000000001</v>
      </c>
      <c r="R243" s="165">
        <f t="shared" si="35"/>
        <v>6856.900000000001</v>
      </c>
      <c r="S243" s="165">
        <f t="shared" si="35"/>
        <v>4856.900000000001</v>
      </c>
    </row>
    <row r="244" spans="1:19" s="356" customFormat="1" ht="36">
      <c r="A244" s="162" t="s">
        <v>108</v>
      </c>
      <c r="B244" s="162" t="s">
        <v>109</v>
      </c>
      <c r="C244" s="162" t="s">
        <v>57</v>
      </c>
      <c r="D244" s="162" t="s">
        <v>57</v>
      </c>
      <c r="E244" s="162" t="s">
        <v>57</v>
      </c>
      <c r="F244" s="162" t="s">
        <v>57</v>
      </c>
      <c r="G244" s="162" t="s">
        <v>57</v>
      </c>
      <c r="H244" s="162" t="s">
        <v>57</v>
      </c>
      <c r="I244" s="162" t="s">
        <v>57</v>
      </c>
      <c r="J244" s="162" t="s">
        <v>57</v>
      </c>
      <c r="K244" s="162" t="s">
        <v>57</v>
      </c>
      <c r="L244" s="163" t="s">
        <v>46</v>
      </c>
      <c r="M244" s="163" t="s">
        <v>71</v>
      </c>
      <c r="N244" s="165">
        <f aca="true" t="shared" si="36" ref="N244:S244">SUM(N246:N255)</f>
        <v>3810.05401</v>
      </c>
      <c r="O244" s="165">
        <f t="shared" si="36"/>
        <v>3740.9365099999995</v>
      </c>
      <c r="P244" s="165">
        <f t="shared" si="36"/>
        <v>4443.9</v>
      </c>
      <c r="Q244" s="165">
        <f t="shared" si="36"/>
        <v>4894</v>
      </c>
      <c r="R244" s="165">
        <f t="shared" si="36"/>
        <v>5394</v>
      </c>
      <c r="S244" s="165">
        <f t="shared" si="36"/>
        <v>3394</v>
      </c>
    </row>
    <row r="245" spans="1:19" s="356" customFormat="1" ht="12">
      <c r="A245" s="162" t="s">
        <v>246</v>
      </c>
      <c r="B245" s="162"/>
      <c r="C245" s="162"/>
      <c r="D245" s="162"/>
      <c r="E245" s="162"/>
      <c r="F245" s="162"/>
      <c r="G245" s="162"/>
      <c r="H245" s="162"/>
      <c r="I245" s="162"/>
      <c r="J245" s="162"/>
      <c r="K245" s="162"/>
      <c r="L245" s="163"/>
      <c r="M245" s="163"/>
      <c r="N245" s="165"/>
      <c r="O245" s="165"/>
      <c r="P245" s="165"/>
      <c r="Q245" s="165"/>
      <c r="R245" s="165"/>
      <c r="S245" s="192"/>
    </row>
    <row r="246" spans="1:19" s="356" customFormat="1" ht="204" customHeight="1">
      <c r="A246" s="193"/>
      <c r="B246" s="300"/>
      <c r="C246" s="104" t="s">
        <v>168</v>
      </c>
      <c r="D246" s="104" t="s">
        <v>703</v>
      </c>
      <c r="E246" s="120" t="s">
        <v>348</v>
      </c>
      <c r="F246" s="535" t="s">
        <v>394</v>
      </c>
      <c r="G246" s="121" t="s">
        <v>395</v>
      </c>
      <c r="H246" s="122" t="s">
        <v>296</v>
      </c>
      <c r="I246" s="417" t="s">
        <v>1138</v>
      </c>
      <c r="J246" s="418" t="s">
        <v>197</v>
      </c>
      <c r="K246" s="418" t="s">
        <v>1139</v>
      </c>
      <c r="L246" s="187"/>
      <c r="M246" s="187"/>
      <c r="N246" s="82">
        <v>1150</v>
      </c>
      <c r="O246" s="82">
        <v>1150</v>
      </c>
      <c r="P246" s="82">
        <v>1000</v>
      </c>
      <c r="Q246" s="82">
        <v>1000</v>
      </c>
      <c r="R246" s="82">
        <v>1000</v>
      </c>
      <c r="S246" s="82">
        <v>1000</v>
      </c>
    </row>
    <row r="247" spans="1:19" s="356" customFormat="1" ht="180.75" customHeight="1">
      <c r="A247" s="177"/>
      <c r="B247" s="215" t="s">
        <v>393</v>
      </c>
      <c r="C247" s="262"/>
      <c r="D247" s="262"/>
      <c r="E247" s="262"/>
      <c r="F247" s="462"/>
      <c r="G247" s="262"/>
      <c r="H247" s="262"/>
      <c r="I247" s="123" t="s">
        <v>1254</v>
      </c>
      <c r="J247" s="19" t="s">
        <v>197</v>
      </c>
      <c r="K247" s="19" t="s">
        <v>1255</v>
      </c>
      <c r="L247" s="195"/>
      <c r="M247" s="195"/>
      <c r="N247" s="197">
        <v>1150</v>
      </c>
      <c r="O247" s="197">
        <v>1150</v>
      </c>
      <c r="P247" s="197">
        <v>1500</v>
      </c>
      <c r="Q247" s="197">
        <v>1500</v>
      </c>
      <c r="R247" s="197">
        <v>2000</v>
      </c>
      <c r="S247" s="197">
        <v>0</v>
      </c>
    </row>
    <row r="248" spans="1:19" s="356" customFormat="1" ht="63" customHeight="1">
      <c r="A248" s="177"/>
      <c r="B248" s="215" t="s">
        <v>829</v>
      </c>
      <c r="C248" s="462" t="s">
        <v>396</v>
      </c>
      <c r="D248" s="462" t="s">
        <v>352</v>
      </c>
      <c r="E248" s="462" t="s">
        <v>397</v>
      </c>
      <c r="F248" s="462" t="s">
        <v>398</v>
      </c>
      <c r="G248" s="462" t="s">
        <v>399</v>
      </c>
      <c r="H248" s="462" t="s">
        <v>400</v>
      </c>
      <c r="I248" s="21" t="s">
        <v>858</v>
      </c>
      <c r="J248" s="21" t="s">
        <v>197</v>
      </c>
      <c r="K248" s="21" t="s">
        <v>859</v>
      </c>
      <c r="L248" s="195"/>
      <c r="M248" s="195"/>
      <c r="N248" s="197">
        <v>167.076</v>
      </c>
      <c r="O248" s="197">
        <v>167.076</v>
      </c>
      <c r="P248" s="197">
        <v>0</v>
      </c>
      <c r="Q248" s="197">
        <v>0</v>
      </c>
      <c r="R248" s="197">
        <v>0</v>
      </c>
      <c r="S248" s="197">
        <v>0</v>
      </c>
    </row>
    <row r="249" spans="1:19" s="356" customFormat="1" ht="48">
      <c r="A249" s="177"/>
      <c r="B249" s="215" t="s">
        <v>401</v>
      </c>
      <c r="C249" s="462"/>
      <c r="D249" s="462"/>
      <c r="E249" s="462"/>
      <c r="F249" s="462"/>
      <c r="G249" s="462"/>
      <c r="H249" s="462"/>
      <c r="I249" s="21" t="s">
        <v>237</v>
      </c>
      <c r="J249" s="21" t="s">
        <v>197</v>
      </c>
      <c r="K249" s="21" t="s">
        <v>205</v>
      </c>
      <c r="L249" s="195"/>
      <c r="M249" s="195"/>
      <c r="N249" s="197">
        <v>130.662</v>
      </c>
      <c r="O249" s="197">
        <v>130.662</v>
      </c>
      <c r="P249" s="197">
        <v>0</v>
      </c>
      <c r="Q249" s="197">
        <v>0</v>
      </c>
      <c r="R249" s="197">
        <v>0</v>
      </c>
      <c r="S249" s="197">
        <v>0</v>
      </c>
    </row>
    <row r="250" spans="1:19" s="356" customFormat="1" ht="132">
      <c r="A250" s="177"/>
      <c r="B250" s="215" t="s">
        <v>831</v>
      </c>
      <c r="C250" s="462"/>
      <c r="D250" s="462"/>
      <c r="E250" s="462"/>
      <c r="F250" s="462"/>
      <c r="G250" s="462"/>
      <c r="H250" s="462"/>
      <c r="I250" s="21" t="s">
        <v>841</v>
      </c>
      <c r="J250" s="21" t="s">
        <v>197</v>
      </c>
      <c r="K250" s="21" t="s">
        <v>842</v>
      </c>
      <c r="L250" s="195"/>
      <c r="M250" s="195"/>
      <c r="N250" s="197">
        <v>130.7</v>
      </c>
      <c r="O250" s="197">
        <v>101.2095</v>
      </c>
      <c r="P250" s="197">
        <v>304</v>
      </c>
      <c r="Q250" s="197">
        <v>0</v>
      </c>
      <c r="R250" s="197">
        <v>0</v>
      </c>
      <c r="S250" s="197">
        <v>0</v>
      </c>
    </row>
    <row r="251" spans="1:19" s="356" customFormat="1" ht="96">
      <c r="A251" s="177"/>
      <c r="B251" s="215" t="s">
        <v>830</v>
      </c>
      <c r="C251" s="462"/>
      <c r="D251" s="462"/>
      <c r="E251" s="462"/>
      <c r="F251" s="462"/>
      <c r="G251" s="462"/>
      <c r="H251" s="462"/>
      <c r="I251" s="21" t="s">
        <v>1233</v>
      </c>
      <c r="J251" s="21" t="s">
        <v>197</v>
      </c>
      <c r="K251" s="21" t="s">
        <v>1234</v>
      </c>
      <c r="L251" s="195"/>
      <c r="M251" s="195"/>
      <c r="N251" s="197">
        <v>158.508</v>
      </c>
      <c r="O251" s="197">
        <v>118.881</v>
      </c>
      <c r="P251" s="197">
        <v>355.9</v>
      </c>
      <c r="Q251" s="197">
        <v>0</v>
      </c>
      <c r="R251" s="197">
        <v>0</v>
      </c>
      <c r="S251" s="197">
        <v>0</v>
      </c>
    </row>
    <row r="252" spans="1:19" s="356" customFormat="1" ht="60">
      <c r="A252" s="177"/>
      <c r="B252" s="215"/>
      <c r="C252" s="462"/>
      <c r="D252" s="462"/>
      <c r="E252" s="462"/>
      <c r="F252" s="462"/>
      <c r="G252" s="462"/>
      <c r="H252" s="462"/>
      <c r="I252" s="21" t="s">
        <v>320</v>
      </c>
      <c r="J252" s="21" t="s">
        <v>863</v>
      </c>
      <c r="K252" s="21" t="s">
        <v>864</v>
      </c>
      <c r="L252" s="195"/>
      <c r="M252" s="195"/>
      <c r="N252" s="197">
        <v>236.8715</v>
      </c>
      <c r="O252" s="197">
        <v>236.8715</v>
      </c>
      <c r="P252" s="197">
        <v>304</v>
      </c>
      <c r="Q252" s="197">
        <v>304</v>
      </c>
      <c r="R252" s="197">
        <v>304</v>
      </c>
      <c r="S252" s="197">
        <v>304</v>
      </c>
    </row>
    <row r="253" spans="1:19" s="356" customFormat="1" ht="72">
      <c r="A253" s="177"/>
      <c r="B253" s="215"/>
      <c r="C253" s="262"/>
      <c r="D253" s="262"/>
      <c r="E253" s="262"/>
      <c r="F253" s="262"/>
      <c r="G253" s="262"/>
      <c r="H253" s="262"/>
      <c r="I253" s="123" t="s">
        <v>402</v>
      </c>
      <c r="J253" s="19" t="s">
        <v>197</v>
      </c>
      <c r="K253" s="19" t="s">
        <v>269</v>
      </c>
      <c r="L253" s="195"/>
      <c r="M253" s="195"/>
      <c r="N253" s="197">
        <v>686.23651</v>
      </c>
      <c r="O253" s="197">
        <v>686.23651</v>
      </c>
      <c r="P253" s="197">
        <v>980</v>
      </c>
      <c r="Q253" s="197">
        <v>2090</v>
      </c>
      <c r="R253" s="197">
        <v>2090</v>
      </c>
      <c r="S253" s="197">
        <v>2090</v>
      </c>
    </row>
    <row r="254" spans="1:19" s="356" customFormat="1" ht="60">
      <c r="A254" s="177"/>
      <c r="B254" s="215"/>
      <c r="C254" s="262"/>
      <c r="D254" s="262"/>
      <c r="E254" s="262"/>
      <c r="F254" s="262"/>
      <c r="G254" s="262"/>
      <c r="H254" s="262"/>
      <c r="I254" s="123" t="s">
        <v>732</v>
      </c>
      <c r="J254" s="19" t="s">
        <v>197</v>
      </c>
      <c r="K254" s="19" t="s">
        <v>715</v>
      </c>
      <c r="L254" s="195"/>
      <c r="M254" s="195"/>
      <c r="N254" s="197"/>
      <c r="O254" s="197"/>
      <c r="P254" s="197"/>
      <c r="Q254" s="197"/>
      <c r="R254" s="197"/>
      <c r="S254" s="197"/>
    </row>
    <row r="255" spans="1:19" s="356" customFormat="1" ht="142.5" customHeight="1">
      <c r="A255" s="177"/>
      <c r="B255" s="215"/>
      <c r="C255" s="262"/>
      <c r="D255" s="262"/>
      <c r="E255" s="262"/>
      <c r="F255" s="368"/>
      <c r="G255" s="262"/>
      <c r="H255" s="262"/>
      <c r="I255" s="123" t="s">
        <v>1256</v>
      </c>
      <c r="J255" s="19" t="s">
        <v>197</v>
      </c>
      <c r="K255" s="19" t="s">
        <v>403</v>
      </c>
      <c r="L255" s="195"/>
      <c r="M255" s="195"/>
      <c r="N255" s="197"/>
      <c r="O255" s="197"/>
      <c r="P255" s="197"/>
      <c r="Q255" s="197"/>
      <c r="R255" s="197"/>
      <c r="S255" s="197"/>
    </row>
    <row r="256" spans="1:19" s="356" customFormat="1" ht="72">
      <c r="A256" s="167" t="s">
        <v>110</v>
      </c>
      <c r="B256" s="167" t="s">
        <v>111</v>
      </c>
      <c r="C256" s="106" t="s">
        <v>404</v>
      </c>
      <c r="D256" s="106" t="s">
        <v>405</v>
      </c>
      <c r="E256" s="106" t="s">
        <v>406</v>
      </c>
      <c r="F256" s="106"/>
      <c r="G256" s="106"/>
      <c r="H256" s="106"/>
      <c r="I256" s="107" t="s">
        <v>407</v>
      </c>
      <c r="J256" s="108" t="s">
        <v>197</v>
      </c>
      <c r="K256" s="108" t="s">
        <v>408</v>
      </c>
      <c r="L256" s="169" t="s">
        <v>58</v>
      </c>
      <c r="M256" s="169" t="s">
        <v>49</v>
      </c>
      <c r="N256" s="170">
        <v>1006.9</v>
      </c>
      <c r="O256" s="170">
        <v>1006.9</v>
      </c>
      <c r="P256" s="170">
        <v>1106.8</v>
      </c>
      <c r="Q256" s="170">
        <v>1106.8</v>
      </c>
      <c r="R256" s="170">
        <v>1106.8</v>
      </c>
      <c r="S256" s="170">
        <v>1106.8</v>
      </c>
    </row>
    <row r="257" spans="1:19" s="356" customFormat="1" ht="143.25" customHeight="1" hidden="1">
      <c r="A257" s="167" t="s">
        <v>112</v>
      </c>
      <c r="B257" s="167" t="s">
        <v>113</v>
      </c>
      <c r="C257" s="109" t="s">
        <v>704</v>
      </c>
      <c r="D257" s="109" t="s">
        <v>410</v>
      </c>
      <c r="E257" s="109" t="s">
        <v>411</v>
      </c>
      <c r="F257" s="109" t="s">
        <v>869</v>
      </c>
      <c r="G257" s="109" t="s">
        <v>870</v>
      </c>
      <c r="H257" s="109" t="s">
        <v>871</v>
      </c>
      <c r="I257" s="107" t="s">
        <v>412</v>
      </c>
      <c r="J257" s="108" t="s">
        <v>202</v>
      </c>
      <c r="K257" s="108" t="s">
        <v>413</v>
      </c>
      <c r="L257" s="169" t="s">
        <v>46</v>
      </c>
      <c r="M257" s="169" t="s">
        <v>65</v>
      </c>
      <c r="N257" s="170">
        <v>0</v>
      </c>
      <c r="O257" s="170"/>
      <c r="P257" s="170">
        <v>0</v>
      </c>
      <c r="Q257" s="170"/>
      <c r="R257" s="170">
        <v>0</v>
      </c>
      <c r="S257" s="170"/>
    </row>
    <row r="258" spans="1:19" s="356" customFormat="1" ht="48">
      <c r="A258" s="167" t="s">
        <v>114</v>
      </c>
      <c r="B258" s="167" t="s">
        <v>115</v>
      </c>
      <c r="C258" s="105"/>
      <c r="D258" s="105"/>
      <c r="E258" s="105"/>
      <c r="F258" s="105"/>
      <c r="G258" s="105"/>
      <c r="H258" s="105"/>
      <c r="I258" s="105"/>
      <c r="J258" s="105"/>
      <c r="K258" s="105"/>
      <c r="L258" s="202" t="s">
        <v>58</v>
      </c>
      <c r="M258" s="202" t="s">
        <v>49</v>
      </c>
      <c r="N258" s="203">
        <f aca="true" t="shared" si="37" ref="N258:S258">SUM(N260:N262)</f>
        <v>165.022</v>
      </c>
      <c r="O258" s="203">
        <f t="shared" si="37"/>
        <v>156.022</v>
      </c>
      <c r="P258" s="203">
        <f t="shared" si="37"/>
        <v>193.969</v>
      </c>
      <c r="Q258" s="203">
        <f t="shared" si="37"/>
        <v>194</v>
      </c>
      <c r="R258" s="203">
        <f t="shared" si="37"/>
        <v>194</v>
      </c>
      <c r="S258" s="203">
        <f t="shared" si="37"/>
        <v>194</v>
      </c>
    </row>
    <row r="259" spans="1:19" s="356" customFormat="1" ht="12">
      <c r="A259" s="167" t="s">
        <v>246</v>
      </c>
      <c r="B259" s="167"/>
      <c r="C259" s="105"/>
      <c r="D259" s="105"/>
      <c r="E259" s="105"/>
      <c r="F259" s="105"/>
      <c r="G259" s="105"/>
      <c r="H259" s="105"/>
      <c r="I259" s="105"/>
      <c r="J259" s="105"/>
      <c r="K259" s="105"/>
      <c r="L259" s="163"/>
      <c r="M259" s="163"/>
      <c r="N259" s="165"/>
      <c r="O259" s="165"/>
      <c r="P259" s="165"/>
      <c r="Q259" s="165"/>
      <c r="R259" s="165"/>
      <c r="S259" s="166"/>
    </row>
    <row r="260" spans="1:19" s="356" customFormat="1" ht="47.25" customHeight="1">
      <c r="A260" s="162"/>
      <c r="B260" s="162"/>
      <c r="C260" s="104" t="s">
        <v>168</v>
      </c>
      <c r="D260" s="104" t="s">
        <v>414</v>
      </c>
      <c r="E260" s="104" t="s">
        <v>170</v>
      </c>
      <c r="F260" s="104"/>
      <c r="G260" s="104"/>
      <c r="H260" s="104"/>
      <c r="I260" s="104" t="s">
        <v>1245</v>
      </c>
      <c r="J260" s="104" t="s">
        <v>415</v>
      </c>
      <c r="K260" s="104" t="s">
        <v>296</v>
      </c>
      <c r="L260" s="163"/>
      <c r="M260" s="163"/>
      <c r="N260" s="82">
        <v>150.022</v>
      </c>
      <c r="O260" s="82">
        <v>150.022</v>
      </c>
      <c r="P260" s="82">
        <v>155.769</v>
      </c>
      <c r="Q260" s="82">
        <v>155.8</v>
      </c>
      <c r="R260" s="82">
        <v>155.8</v>
      </c>
      <c r="S260" s="82">
        <v>155.8</v>
      </c>
    </row>
    <row r="261" spans="1:19" s="356" customFormat="1" ht="40.5" customHeight="1">
      <c r="A261" s="201"/>
      <c r="B261" s="201"/>
      <c r="C261" s="21"/>
      <c r="D261" s="21"/>
      <c r="E261" s="21"/>
      <c r="F261" s="21"/>
      <c r="G261" s="21"/>
      <c r="H261" s="21"/>
      <c r="I261" s="21" t="s">
        <v>416</v>
      </c>
      <c r="J261" s="21" t="s">
        <v>417</v>
      </c>
      <c r="K261" s="21" t="s">
        <v>418</v>
      </c>
      <c r="L261" s="202"/>
      <c r="M261" s="202"/>
      <c r="N261" s="197">
        <v>0</v>
      </c>
      <c r="O261" s="197">
        <v>0</v>
      </c>
      <c r="P261" s="197">
        <v>23.2</v>
      </c>
      <c r="Q261" s="197">
        <v>23.2</v>
      </c>
      <c r="R261" s="197">
        <v>23.2</v>
      </c>
      <c r="S261" s="197">
        <v>23.2</v>
      </c>
    </row>
    <row r="262" spans="1:19" s="356" customFormat="1" ht="47.25" customHeight="1">
      <c r="A262" s="201"/>
      <c r="B262" s="201"/>
      <c r="C262" s="21"/>
      <c r="D262" s="21"/>
      <c r="E262" s="21"/>
      <c r="F262" s="368" t="s">
        <v>673</v>
      </c>
      <c r="G262" s="262"/>
      <c r="H262" s="262"/>
      <c r="I262" s="21" t="s">
        <v>808</v>
      </c>
      <c r="J262" s="21" t="s">
        <v>419</v>
      </c>
      <c r="K262" s="21" t="s">
        <v>420</v>
      </c>
      <c r="L262" s="202"/>
      <c r="M262" s="202"/>
      <c r="N262" s="197">
        <v>15</v>
      </c>
      <c r="O262" s="197">
        <v>6</v>
      </c>
      <c r="P262" s="197">
        <v>15</v>
      </c>
      <c r="Q262" s="197">
        <v>15</v>
      </c>
      <c r="R262" s="197">
        <v>15</v>
      </c>
      <c r="S262" s="197">
        <v>15</v>
      </c>
    </row>
    <row r="263" spans="1:19" s="356" customFormat="1" ht="97.5" customHeight="1">
      <c r="A263" s="162" t="s">
        <v>116</v>
      </c>
      <c r="B263" s="162" t="s">
        <v>117</v>
      </c>
      <c r="C263" s="100" t="s">
        <v>168</v>
      </c>
      <c r="D263" s="101" t="s">
        <v>702</v>
      </c>
      <c r="E263" s="102" t="s">
        <v>348</v>
      </c>
      <c r="F263" s="34" t="s">
        <v>421</v>
      </c>
      <c r="G263" s="35" t="s">
        <v>422</v>
      </c>
      <c r="H263" s="35" t="s">
        <v>423</v>
      </c>
      <c r="I263" s="388" t="s">
        <v>424</v>
      </c>
      <c r="J263" s="388" t="s">
        <v>360</v>
      </c>
      <c r="K263" s="389" t="s">
        <v>425</v>
      </c>
      <c r="L263" s="163" t="s">
        <v>58</v>
      </c>
      <c r="M263" s="163" t="s">
        <v>49</v>
      </c>
      <c r="N263" s="165">
        <v>162.05</v>
      </c>
      <c r="O263" s="165">
        <v>162.05</v>
      </c>
      <c r="P263" s="165">
        <v>162.05</v>
      </c>
      <c r="Q263" s="165">
        <v>162.1</v>
      </c>
      <c r="R263" s="165">
        <v>162.1</v>
      </c>
      <c r="S263" s="166">
        <v>162.1</v>
      </c>
    </row>
    <row r="264" spans="1:19" s="356" customFormat="1" ht="121.5" customHeight="1">
      <c r="A264" s="162" t="s">
        <v>15</v>
      </c>
      <c r="B264" s="162" t="s">
        <v>118</v>
      </c>
      <c r="C264" s="163" t="s">
        <v>53</v>
      </c>
      <c r="D264" s="163" t="s">
        <v>53</v>
      </c>
      <c r="E264" s="163" t="s">
        <v>53</v>
      </c>
      <c r="F264" s="163" t="s">
        <v>53</v>
      </c>
      <c r="G264" s="163" t="s">
        <v>53</v>
      </c>
      <c r="H264" s="163" t="s">
        <v>53</v>
      </c>
      <c r="I264" s="163" t="s">
        <v>53</v>
      </c>
      <c r="J264" s="163" t="s">
        <v>53</v>
      </c>
      <c r="K264" s="163" t="s">
        <v>53</v>
      </c>
      <c r="L264" s="163"/>
      <c r="M264" s="163"/>
      <c r="N264" s="165">
        <f aca="true" t="shared" si="38" ref="N264:S264">N265</f>
        <v>556271.70279</v>
      </c>
      <c r="O264" s="165">
        <f t="shared" si="38"/>
        <v>552652.1101200001</v>
      </c>
      <c r="P264" s="165">
        <f t="shared" si="38"/>
        <v>557382.3999999999</v>
      </c>
      <c r="Q264" s="165">
        <f t="shared" si="38"/>
        <v>558859.9</v>
      </c>
      <c r="R264" s="165">
        <f t="shared" si="38"/>
        <v>558857.4</v>
      </c>
      <c r="S264" s="165">
        <f t="shared" si="38"/>
        <v>0</v>
      </c>
    </row>
    <row r="265" spans="1:19" s="356" customFormat="1" ht="36">
      <c r="A265" s="162" t="s">
        <v>119</v>
      </c>
      <c r="B265" s="162" t="s">
        <v>120</v>
      </c>
      <c r="C265" s="163" t="s">
        <v>53</v>
      </c>
      <c r="D265" s="163" t="s">
        <v>53</v>
      </c>
      <c r="E265" s="163" t="s">
        <v>53</v>
      </c>
      <c r="F265" s="163" t="s">
        <v>53</v>
      </c>
      <c r="G265" s="163" t="s">
        <v>53</v>
      </c>
      <c r="H265" s="163" t="s">
        <v>53</v>
      </c>
      <c r="I265" s="163" t="s">
        <v>53</v>
      </c>
      <c r="J265" s="163" t="s">
        <v>53</v>
      </c>
      <c r="K265" s="163" t="s">
        <v>53</v>
      </c>
      <c r="L265" s="163"/>
      <c r="M265" s="163"/>
      <c r="N265" s="165">
        <f aca="true" t="shared" si="39" ref="N265:S265">SUM(N276:N299)</f>
        <v>556271.70279</v>
      </c>
      <c r="O265" s="165">
        <f t="shared" si="39"/>
        <v>552652.1101200001</v>
      </c>
      <c r="P265" s="165">
        <f t="shared" si="39"/>
        <v>557382.3999999999</v>
      </c>
      <c r="Q265" s="165">
        <f>SUM(Q276:Q299)</f>
        <v>558859.9</v>
      </c>
      <c r="R265" s="165">
        <f>SUM(R276:R299)</f>
        <v>558857.4</v>
      </c>
      <c r="S265" s="165">
        <f t="shared" si="39"/>
        <v>0</v>
      </c>
    </row>
    <row r="266" spans="1:19" s="356" customFormat="1" ht="12">
      <c r="A266" s="167" t="s">
        <v>246</v>
      </c>
      <c r="B266" s="167"/>
      <c r="C266" s="169"/>
      <c r="D266" s="169"/>
      <c r="E266" s="169"/>
      <c r="F266" s="169"/>
      <c r="G266" s="169"/>
      <c r="H266" s="169"/>
      <c r="I266" s="169"/>
      <c r="J266" s="169"/>
      <c r="K266" s="169"/>
      <c r="L266" s="235"/>
      <c r="M266" s="235"/>
      <c r="N266" s="165">
        <f aca="true" t="shared" si="40" ref="N266:S266">SUM(N267:N275)</f>
        <v>556271.70279</v>
      </c>
      <c r="O266" s="165">
        <f t="shared" si="40"/>
        <v>552652.1101200001</v>
      </c>
      <c r="P266" s="165">
        <f t="shared" si="40"/>
        <v>557382.4</v>
      </c>
      <c r="Q266" s="165">
        <f>SUM(Q267:Q275)</f>
        <v>558859.9</v>
      </c>
      <c r="R266" s="165">
        <f>SUM(R267:R275)</f>
        <v>558857.4</v>
      </c>
      <c r="S266" s="165">
        <f t="shared" si="40"/>
        <v>0</v>
      </c>
    </row>
    <row r="267" spans="1:19" s="357" customFormat="1" ht="12">
      <c r="A267" s="171"/>
      <c r="B267" s="171"/>
      <c r="C267" s="172"/>
      <c r="D267" s="172"/>
      <c r="E267" s="172"/>
      <c r="F267" s="172"/>
      <c r="G267" s="172"/>
      <c r="H267" s="172"/>
      <c r="I267" s="172"/>
      <c r="J267" s="172"/>
      <c r="K267" s="172"/>
      <c r="L267" s="267" t="s">
        <v>58</v>
      </c>
      <c r="M267" s="267" t="s">
        <v>65</v>
      </c>
      <c r="N267" s="219">
        <f aca="true" t="shared" si="41" ref="N267:S267">N277+N291+N293+N294+N297+N299</f>
        <v>10483.699999999999</v>
      </c>
      <c r="O267" s="219">
        <f t="shared" si="41"/>
        <v>10388.717359999999</v>
      </c>
      <c r="P267" s="219">
        <f t="shared" si="41"/>
        <v>10582.8</v>
      </c>
      <c r="Q267" s="219">
        <f t="shared" si="41"/>
        <v>10582.8</v>
      </c>
      <c r="R267" s="219">
        <f t="shared" si="41"/>
        <v>10582.8</v>
      </c>
      <c r="S267" s="219">
        <f t="shared" si="41"/>
        <v>0</v>
      </c>
    </row>
    <row r="268" spans="1:19" s="357" customFormat="1" ht="12">
      <c r="A268" s="171"/>
      <c r="B268" s="171"/>
      <c r="C268" s="172"/>
      <c r="D268" s="172"/>
      <c r="E268" s="172"/>
      <c r="F268" s="172"/>
      <c r="G268" s="172"/>
      <c r="H268" s="172"/>
      <c r="I268" s="172"/>
      <c r="J268" s="172"/>
      <c r="K268" s="172"/>
      <c r="L268" s="267" t="s">
        <v>58</v>
      </c>
      <c r="M268" s="267" t="s">
        <v>63</v>
      </c>
      <c r="N268" s="219">
        <f aca="true" t="shared" si="42" ref="N268:S268">N276</f>
        <v>35.97</v>
      </c>
      <c r="O268" s="219">
        <f t="shared" si="42"/>
        <v>30</v>
      </c>
      <c r="P268" s="219">
        <f t="shared" si="42"/>
        <v>0</v>
      </c>
      <c r="Q268" s="219">
        <f t="shared" si="42"/>
        <v>0</v>
      </c>
      <c r="R268" s="219">
        <f t="shared" si="42"/>
        <v>0</v>
      </c>
      <c r="S268" s="219">
        <f t="shared" si="42"/>
        <v>0</v>
      </c>
    </row>
    <row r="269" spans="1:19" s="357" customFormat="1" ht="12">
      <c r="A269" s="171"/>
      <c r="B269" s="171"/>
      <c r="C269" s="172"/>
      <c r="D269" s="172"/>
      <c r="E269" s="172"/>
      <c r="F269" s="172"/>
      <c r="G269" s="172"/>
      <c r="H269" s="172"/>
      <c r="I269" s="172"/>
      <c r="J269" s="172"/>
      <c r="K269" s="172"/>
      <c r="L269" s="267" t="s">
        <v>65</v>
      </c>
      <c r="M269" s="267" t="s">
        <v>58</v>
      </c>
      <c r="N269" s="219">
        <f aca="true" t="shared" si="43" ref="N269:S269">N295</f>
        <v>195.4</v>
      </c>
      <c r="O269" s="219">
        <f t="shared" si="43"/>
        <v>137.40619</v>
      </c>
      <c r="P269" s="219">
        <f t="shared" si="43"/>
        <v>195.4</v>
      </c>
      <c r="Q269" s="219">
        <f t="shared" si="43"/>
        <v>195.4</v>
      </c>
      <c r="R269" s="219">
        <f t="shared" si="43"/>
        <v>195.4</v>
      </c>
      <c r="S269" s="219">
        <f t="shared" si="43"/>
        <v>0</v>
      </c>
    </row>
    <row r="270" spans="1:19" s="357" customFormat="1" ht="12">
      <c r="A270" s="171"/>
      <c r="B270" s="171"/>
      <c r="C270" s="172"/>
      <c r="D270" s="172"/>
      <c r="E270" s="172"/>
      <c r="F270" s="172"/>
      <c r="G270" s="172"/>
      <c r="H270" s="172"/>
      <c r="I270" s="172"/>
      <c r="J270" s="172"/>
      <c r="K270" s="172"/>
      <c r="L270" s="267" t="s">
        <v>65</v>
      </c>
      <c r="M270" s="267" t="s">
        <v>63</v>
      </c>
      <c r="N270" s="219">
        <f aca="true" t="shared" si="44" ref="N270:S270">N278+N279+N296</f>
        <v>6388.42861</v>
      </c>
      <c r="O270" s="219">
        <f t="shared" si="44"/>
        <v>6319.36811</v>
      </c>
      <c r="P270" s="219">
        <f t="shared" si="44"/>
        <v>4103</v>
      </c>
      <c r="Q270" s="219">
        <f t="shared" si="44"/>
        <v>4099.7</v>
      </c>
      <c r="R270" s="219">
        <f t="shared" si="44"/>
        <v>4097.2</v>
      </c>
      <c r="S270" s="219">
        <f t="shared" si="44"/>
        <v>0</v>
      </c>
    </row>
    <row r="271" spans="1:19" s="357" customFormat="1" ht="12">
      <c r="A271" s="171"/>
      <c r="B271" s="171"/>
      <c r="C271" s="172"/>
      <c r="D271" s="172"/>
      <c r="E271" s="172"/>
      <c r="F271" s="172"/>
      <c r="G271" s="172"/>
      <c r="H271" s="172"/>
      <c r="I271" s="172"/>
      <c r="J271" s="172"/>
      <c r="K271" s="172"/>
      <c r="L271" s="267" t="s">
        <v>76</v>
      </c>
      <c r="M271" s="267" t="s">
        <v>58</v>
      </c>
      <c r="N271" s="219">
        <f aca="true" t="shared" si="45" ref="N271:S271">N280+N283+N288+N298</f>
        <v>95579.67599999999</v>
      </c>
      <c r="O271" s="219">
        <f t="shared" si="45"/>
        <v>95579.66866</v>
      </c>
      <c r="P271" s="219">
        <f t="shared" si="45"/>
        <v>91496.176</v>
      </c>
      <c r="Q271" s="219">
        <f t="shared" si="45"/>
        <v>90323.8</v>
      </c>
      <c r="R271" s="219">
        <f t="shared" si="45"/>
        <v>90323.8</v>
      </c>
      <c r="S271" s="219">
        <f t="shared" si="45"/>
        <v>0</v>
      </c>
    </row>
    <row r="272" spans="1:19" s="357" customFormat="1" ht="12">
      <c r="A272" s="171"/>
      <c r="B272" s="171"/>
      <c r="C272" s="172"/>
      <c r="D272" s="172"/>
      <c r="E272" s="172"/>
      <c r="F272" s="172"/>
      <c r="G272" s="172"/>
      <c r="H272" s="172"/>
      <c r="I272" s="172"/>
      <c r="J272" s="172"/>
      <c r="K272" s="172"/>
      <c r="L272" s="267" t="s">
        <v>76</v>
      </c>
      <c r="M272" s="267" t="s">
        <v>64</v>
      </c>
      <c r="N272" s="219">
        <f aca="true" t="shared" si="46" ref="N272:S272">N282+N284+N289</f>
        <v>402192.10000000003</v>
      </c>
      <c r="O272" s="219">
        <f t="shared" si="46"/>
        <v>399434.0054300001</v>
      </c>
      <c r="P272" s="219">
        <f t="shared" si="46"/>
        <v>407068.415</v>
      </c>
      <c r="Q272" s="219">
        <f t="shared" si="46"/>
        <v>408676.4</v>
      </c>
      <c r="R272" s="219">
        <f t="shared" si="46"/>
        <v>408676.4</v>
      </c>
      <c r="S272" s="219">
        <f t="shared" si="46"/>
        <v>0</v>
      </c>
    </row>
    <row r="273" spans="1:19" s="357" customFormat="1" ht="12">
      <c r="A273" s="171"/>
      <c r="B273" s="171"/>
      <c r="C273" s="172"/>
      <c r="D273" s="172"/>
      <c r="E273" s="172"/>
      <c r="F273" s="172"/>
      <c r="G273" s="172"/>
      <c r="H273" s="172"/>
      <c r="I273" s="172"/>
      <c r="J273" s="172"/>
      <c r="K273" s="172"/>
      <c r="L273" s="267" t="s">
        <v>76</v>
      </c>
      <c r="M273" s="267" t="s">
        <v>71</v>
      </c>
      <c r="N273" s="219">
        <f>N285</f>
        <v>0</v>
      </c>
      <c r="O273" s="219">
        <f>O285</f>
        <v>0</v>
      </c>
      <c r="P273" s="219">
        <f>P285</f>
        <v>63.809</v>
      </c>
      <c r="Q273" s="219">
        <f>Q285</f>
        <v>0</v>
      </c>
      <c r="R273" s="219">
        <f>R285</f>
        <v>0</v>
      </c>
      <c r="S273" s="219"/>
    </row>
    <row r="274" spans="1:19" s="357" customFormat="1" ht="12">
      <c r="A274" s="171"/>
      <c r="B274" s="171"/>
      <c r="C274" s="172"/>
      <c r="D274" s="172"/>
      <c r="E274" s="172"/>
      <c r="F274" s="172"/>
      <c r="G274" s="172"/>
      <c r="H274" s="172"/>
      <c r="I274" s="172"/>
      <c r="J274" s="172"/>
      <c r="K274" s="172"/>
      <c r="L274" s="267" t="s">
        <v>46</v>
      </c>
      <c r="M274" s="267" t="s">
        <v>65</v>
      </c>
      <c r="N274" s="219">
        <f aca="true" t="shared" si="47" ref="N274:S274">N290+N286</f>
        <v>41369.62818</v>
      </c>
      <c r="O274" s="219">
        <f t="shared" si="47"/>
        <v>40736.14437</v>
      </c>
      <c r="P274" s="219">
        <f t="shared" si="47"/>
        <v>43846</v>
      </c>
      <c r="Q274" s="219">
        <f t="shared" si="47"/>
        <v>44981.8</v>
      </c>
      <c r="R274" s="219">
        <f t="shared" si="47"/>
        <v>44981.8</v>
      </c>
      <c r="S274" s="219">
        <f t="shared" si="47"/>
        <v>0</v>
      </c>
    </row>
    <row r="275" spans="1:19" s="357" customFormat="1" ht="12">
      <c r="A275" s="171"/>
      <c r="B275" s="171"/>
      <c r="C275" s="172"/>
      <c r="D275" s="172"/>
      <c r="E275" s="172"/>
      <c r="F275" s="172"/>
      <c r="G275" s="172"/>
      <c r="H275" s="172"/>
      <c r="I275" s="172"/>
      <c r="J275" s="172"/>
      <c r="K275" s="172"/>
      <c r="L275" s="267" t="s">
        <v>46</v>
      </c>
      <c r="M275" s="267" t="s">
        <v>59</v>
      </c>
      <c r="N275" s="219">
        <f aca="true" t="shared" si="48" ref="N275:S275">N287</f>
        <v>26.8</v>
      </c>
      <c r="O275" s="219">
        <f t="shared" si="48"/>
        <v>26.8</v>
      </c>
      <c r="P275" s="219">
        <f t="shared" si="48"/>
        <v>26.8</v>
      </c>
      <c r="Q275" s="219">
        <f t="shared" si="48"/>
        <v>0</v>
      </c>
      <c r="R275" s="219">
        <f t="shared" si="48"/>
        <v>0</v>
      </c>
      <c r="S275" s="219">
        <f t="shared" si="48"/>
        <v>0</v>
      </c>
    </row>
    <row r="276" spans="1:19" s="355" customFormat="1" ht="192">
      <c r="A276" s="177" t="s">
        <v>121</v>
      </c>
      <c r="B276" s="177" t="s">
        <v>1018</v>
      </c>
      <c r="C276" s="63" t="s">
        <v>426</v>
      </c>
      <c r="D276" s="63" t="s">
        <v>427</v>
      </c>
      <c r="E276" s="65" t="s">
        <v>428</v>
      </c>
      <c r="F276" s="1" t="s">
        <v>429</v>
      </c>
      <c r="G276" s="1" t="s">
        <v>318</v>
      </c>
      <c r="H276" s="1" t="s">
        <v>179</v>
      </c>
      <c r="I276" s="1" t="s">
        <v>430</v>
      </c>
      <c r="J276" s="1" t="s">
        <v>232</v>
      </c>
      <c r="K276" s="1" t="s">
        <v>431</v>
      </c>
      <c r="L276" s="187" t="s">
        <v>58</v>
      </c>
      <c r="M276" s="187" t="s">
        <v>63</v>
      </c>
      <c r="N276" s="82">
        <v>35.97</v>
      </c>
      <c r="O276" s="82">
        <v>30</v>
      </c>
      <c r="P276" s="82">
        <v>0</v>
      </c>
      <c r="Q276" s="82">
        <v>0</v>
      </c>
      <c r="R276" s="82">
        <v>0</v>
      </c>
      <c r="S276" s="83">
        <v>0</v>
      </c>
    </row>
    <row r="277" spans="1:19" s="355" customFormat="1" ht="133.5" customHeight="1">
      <c r="A277" s="193" t="s">
        <v>123</v>
      </c>
      <c r="B277" s="193" t="s">
        <v>917</v>
      </c>
      <c r="C277" s="13" t="s">
        <v>432</v>
      </c>
      <c r="D277" s="13" t="s">
        <v>433</v>
      </c>
      <c r="E277" s="13" t="s">
        <v>434</v>
      </c>
      <c r="F277" s="13" t="s">
        <v>435</v>
      </c>
      <c r="G277" s="13" t="s">
        <v>436</v>
      </c>
      <c r="H277" s="13" t="s">
        <v>437</v>
      </c>
      <c r="I277" s="13" t="s">
        <v>438</v>
      </c>
      <c r="J277" s="30" t="s">
        <v>439</v>
      </c>
      <c r="K277" s="30" t="s">
        <v>440</v>
      </c>
      <c r="L277" s="187" t="s">
        <v>58</v>
      </c>
      <c r="M277" s="187" t="s">
        <v>65</v>
      </c>
      <c r="N277" s="82">
        <v>839</v>
      </c>
      <c r="O277" s="82">
        <v>839</v>
      </c>
      <c r="P277" s="82">
        <v>865</v>
      </c>
      <c r="Q277" s="82">
        <v>865</v>
      </c>
      <c r="R277" s="82">
        <v>865</v>
      </c>
      <c r="S277" s="83">
        <v>0</v>
      </c>
    </row>
    <row r="278" spans="1:19" s="355" customFormat="1" ht="107.25" customHeight="1">
      <c r="A278" s="460" t="s">
        <v>16</v>
      </c>
      <c r="B278" s="193" t="s">
        <v>125</v>
      </c>
      <c r="C278" s="104" t="s">
        <v>872</v>
      </c>
      <c r="D278" s="104" t="s">
        <v>873</v>
      </c>
      <c r="E278" s="104" t="s">
        <v>874</v>
      </c>
      <c r="F278" s="104" t="s">
        <v>875</v>
      </c>
      <c r="G278" s="104" t="s">
        <v>876</v>
      </c>
      <c r="H278" s="104" t="s">
        <v>173</v>
      </c>
      <c r="I278" s="104" t="s">
        <v>819</v>
      </c>
      <c r="J278" s="120" t="s">
        <v>202</v>
      </c>
      <c r="K278" s="120" t="s">
        <v>820</v>
      </c>
      <c r="L278" s="187" t="s">
        <v>65</v>
      </c>
      <c r="M278" s="187" t="s">
        <v>63</v>
      </c>
      <c r="N278" s="82">
        <f>6388.42861-687.5-681.097</f>
        <v>5019.83161</v>
      </c>
      <c r="O278" s="82">
        <f>6319.36811-667.39486-632.14164</f>
        <v>5019.83161</v>
      </c>
      <c r="P278" s="82">
        <f>4103-687.6</f>
        <v>3415.4</v>
      </c>
      <c r="Q278" s="82">
        <v>3412.1</v>
      </c>
      <c r="R278" s="82">
        <v>3409.6</v>
      </c>
      <c r="S278" s="82">
        <v>0</v>
      </c>
    </row>
    <row r="279" spans="1:19" s="355" customFormat="1" ht="134.25" customHeight="1">
      <c r="A279" s="455"/>
      <c r="B279" s="185"/>
      <c r="C279" s="56" t="s">
        <v>723</v>
      </c>
      <c r="D279" s="56" t="s">
        <v>197</v>
      </c>
      <c r="E279" s="56" t="s">
        <v>724</v>
      </c>
      <c r="F279" s="56" t="s">
        <v>722</v>
      </c>
      <c r="G279" s="56" t="s">
        <v>197</v>
      </c>
      <c r="H279" s="56" t="s">
        <v>215</v>
      </c>
      <c r="I279" s="56" t="s">
        <v>945</v>
      </c>
      <c r="J279" s="124" t="s">
        <v>197</v>
      </c>
      <c r="K279" s="124" t="s">
        <v>946</v>
      </c>
      <c r="L279" s="161"/>
      <c r="M279" s="161"/>
      <c r="N279" s="210">
        <v>681.097</v>
      </c>
      <c r="O279" s="210">
        <v>632.14164</v>
      </c>
      <c r="P279" s="210">
        <v>0</v>
      </c>
      <c r="Q279" s="210">
        <v>0</v>
      </c>
      <c r="R279" s="210">
        <v>0</v>
      </c>
      <c r="S279" s="210">
        <v>0</v>
      </c>
    </row>
    <row r="280" spans="1:19" s="355" customFormat="1" ht="169.5" customHeight="1">
      <c r="A280" s="460" t="s">
        <v>17</v>
      </c>
      <c r="B280" s="177" t="s">
        <v>1019</v>
      </c>
      <c r="C280" s="485" t="s">
        <v>446</v>
      </c>
      <c r="D280" s="485" t="s">
        <v>410</v>
      </c>
      <c r="E280" s="485" t="s">
        <v>447</v>
      </c>
      <c r="F280" s="1" t="s">
        <v>448</v>
      </c>
      <c r="G280" s="1" t="s">
        <v>449</v>
      </c>
      <c r="H280" s="1" t="s">
        <v>217</v>
      </c>
      <c r="I280" s="63" t="s">
        <v>1136</v>
      </c>
      <c r="J280" s="1" t="s">
        <v>197</v>
      </c>
      <c r="K280" s="42" t="s">
        <v>217</v>
      </c>
      <c r="L280" s="195" t="s">
        <v>76</v>
      </c>
      <c r="M280" s="195" t="s">
        <v>58</v>
      </c>
      <c r="N280" s="197">
        <v>94891.3</v>
      </c>
      <c r="O280" s="197">
        <v>94891.29266</v>
      </c>
      <c r="P280" s="197">
        <v>89985.6</v>
      </c>
      <c r="Q280" s="197">
        <v>89985.6</v>
      </c>
      <c r="R280" s="197">
        <v>89985.6</v>
      </c>
      <c r="S280" s="197">
        <v>0</v>
      </c>
    </row>
    <row r="281" spans="1:19" s="355" customFormat="1" ht="133.5" customHeight="1">
      <c r="A281" s="454"/>
      <c r="B281" s="177"/>
      <c r="C281" s="485"/>
      <c r="D281" s="485"/>
      <c r="E281" s="485"/>
      <c r="F281" s="533" t="s">
        <v>718</v>
      </c>
      <c r="G281" s="1"/>
      <c r="H281" s="1"/>
      <c r="I281" s="63" t="s">
        <v>1128</v>
      </c>
      <c r="J281" s="1" t="s">
        <v>197</v>
      </c>
      <c r="K281" s="42" t="s">
        <v>719</v>
      </c>
      <c r="L281" s="195"/>
      <c r="M281" s="195"/>
      <c r="N281" s="197"/>
      <c r="O281" s="197"/>
      <c r="P281" s="197"/>
      <c r="Q281" s="197"/>
      <c r="R281" s="197"/>
      <c r="S281" s="197"/>
    </row>
    <row r="282" spans="1:19" s="355" customFormat="1" ht="133.5" customHeight="1">
      <c r="A282" s="455"/>
      <c r="B282" s="215" t="s">
        <v>1186</v>
      </c>
      <c r="C282" s="531"/>
      <c r="D282" s="531"/>
      <c r="E282" s="531"/>
      <c r="F282" s="534"/>
      <c r="G282" s="224" t="s">
        <v>450</v>
      </c>
      <c r="H282" s="224" t="s">
        <v>289</v>
      </c>
      <c r="I282" s="222" t="s">
        <v>451</v>
      </c>
      <c r="J282" s="224" t="s">
        <v>197</v>
      </c>
      <c r="K282" s="225" t="s">
        <v>289</v>
      </c>
      <c r="L282" s="161" t="s">
        <v>76</v>
      </c>
      <c r="M282" s="161" t="s">
        <v>64</v>
      </c>
      <c r="N282" s="210">
        <f>353056.2+34358.5</f>
        <v>387414.7</v>
      </c>
      <c r="O282" s="210">
        <f>352687.59242+34358.42301</f>
        <v>387046.01543</v>
      </c>
      <c r="P282" s="210">
        <f>357401.3+35260.6</f>
        <v>392661.89999999997</v>
      </c>
      <c r="Q282" s="210">
        <v>392661.9</v>
      </c>
      <c r="R282" s="210">
        <v>392661.9</v>
      </c>
      <c r="S282" s="210">
        <v>0</v>
      </c>
    </row>
    <row r="283" spans="1:19" s="355" customFormat="1" ht="78" customHeight="1">
      <c r="A283" s="460" t="s">
        <v>18</v>
      </c>
      <c r="B283" s="193" t="s">
        <v>1020</v>
      </c>
      <c r="C283" s="484" t="s">
        <v>446</v>
      </c>
      <c r="D283" s="484" t="s">
        <v>452</v>
      </c>
      <c r="E283" s="484" t="s">
        <v>447</v>
      </c>
      <c r="F283" s="484" t="s">
        <v>453</v>
      </c>
      <c r="G283" s="484" t="s">
        <v>454</v>
      </c>
      <c r="H283" s="512" t="s">
        <v>455</v>
      </c>
      <c r="I283" s="452" t="s">
        <v>456</v>
      </c>
      <c r="J283" s="452" t="s">
        <v>207</v>
      </c>
      <c r="K283" s="506" t="s">
        <v>457</v>
      </c>
      <c r="L283" s="187" t="s">
        <v>76</v>
      </c>
      <c r="M283" s="187" t="s">
        <v>58</v>
      </c>
      <c r="N283" s="82">
        <v>62.496</v>
      </c>
      <c r="O283" s="82">
        <v>62.496</v>
      </c>
      <c r="P283" s="82">
        <v>40.176</v>
      </c>
      <c r="Q283" s="82">
        <v>0</v>
      </c>
      <c r="R283" s="82">
        <v>0</v>
      </c>
      <c r="S283" s="83">
        <v>0</v>
      </c>
    </row>
    <row r="284" spans="1:19" s="355" customFormat="1" ht="78" customHeight="1">
      <c r="A284" s="454"/>
      <c r="B284" s="177"/>
      <c r="C284" s="485"/>
      <c r="D284" s="485"/>
      <c r="E284" s="485"/>
      <c r="F284" s="485"/>
      <c r="G284" s="485"/>
      <c r="H284" s="513"/>
      <c r="I284" s="504"/>
      <c r="J284" s="504"/>
      <c r="K284" s="507"/>
      <c r="L284" s="187" t="s">
        <v>76</v>
      </c>
      <c r="M284" s="187" t="s">
        <v>64</v>
      </c>
      <c r="N284" s="82">
        <v>750.504</v>
      </c>
      <c r="O284" s="82">
        <v>713.286</v>
      </c>
      <c r="P284" s="82">
        <v>553.015</v>
      </c>
      <c r="Q284" s="82">
        <v>657</v>
      </c>
      <c r="R284" s="82">
        <v>657</v>
      </c>
      <c r="S284" s="83">
        <v>0</v>
      </c>
    </row>
    <row r="285" spans="1:19" s="355" customFormat="1" ht="78" customHeight="1">
      <c r="A285" s="209"/>
      <c r="B285" s="177"/>
      <c r="C285" s="350"/>
      <c r="D285" s="350"/>
      <c r="E285" s="350"/>
      <c r="F285" s="350"/>
      <c r="G285" s="350"/>
      <c r="H285" s="350"/>
      <c r="I285" s="350"/>
      <c r="J285" s="350"/>
      <c r="K285" s="415"/>
      <c r="L285" s="254" t="s">
        <v>76</v>
      </c>
      <c r="M285" s="254" t="s">
        <v>71</v>
      </c>
      <c r="N285" s="82">
        <v>0</v>
      </c>
      <c r="O285" s="82">
        <v>0</v>
      </c>
      <c r="P285" s="82">
        <v>63.809</v>
      </c>
      <c r="Q285" s="82"/>
      <c r="R285" s="82"/>
      <c r="S285" s="414"/>
    </row>
    <row r="286" spans="1:19" s="355" customFormat="1" ht="77.25" customHeight="1">
      <c r="A286" s="193" t="s">
        <v>128</v>
      </c>
      <c r="B286" s="193" t="s">
        <v>1021</v>
      </c>
      <c r="C286" s="452" t="s">
        <v>409</v>
      </c>
      <c r="D286" s="452" t="s">
        <v>458</v>
      </c>
      <c r="E286" s="452" t="s">
        <v>411</v>
      </c>
      <c r="F286" s="452" t="s">
        <v>459</v>
      </c>
      <c r="G286" s="452" t="s">
        <v>460</v>
      </c>
      <c r="H286" s="452" t="s">
        <v>461</v>
      </c>
      <c r="I286" s="452" t="s">
        <v>462</v>
      </c>
      <c r="J286" s="452" t="s">
        <v>232</v>
      </c>
      <c r="K286" s="452" t="s">
        <v>463</v>
      </c>
      <c r="L286" s="187"/>
      <c r="M286" s="187"/>
      <c r="N286" s="82"/>
      <c r="O286" s="82"/>
      <c r="P286" s="82"/>
      <c r="Q286" s="82"/>
      <c r="R286" s="82"/>
      <c r="S286" s="82"/>
    </row>
    <row r="287" spans="1:19" s="355" customFormat="1" ht="77.25" customHeight="1">
      <c r="A287" s="177"/>
      <c r="B287" s="185"/>
      <c r="C287" s="453"/>
      <c r="D287" s="453"/>
      <c r="E287" s="453"/>
      <c r="F287" s="453"/>
      <c r="G287" s="453"/>
      <c r="H287" s="453"/>
      <c r="I287" s="469"/>
      <c r="J287" s="469"/>
      <c r="K287" s="469"/>
      <c r="L287" s="161" t="s">
        <v>46</v>
      </c>
      <c r="M287" s="161" t="s">
        <v>59</v>
      </c>
      <c r="N287" s="210">
        <v>26.8</v>
      </c>
      <c r="O287" s="210">
        <v>26.8</v>
      </c>
      <c r="P287" s="210">
        <v>26.8</v>
      </c>
      <c r="Q287" s="210">
        <v>0</v>
      </c>
      <c r="R287" s="210">
        <v>0</v>
      </c>
      <c r="S287" s="210">
        <v>0</v>
      </c>
    </row>
    <row r="288" spans="1:19" s="355" customFormat="1" ht="108" customHeight="1">
      <c r="A288" s="460" t="s">
        <v>19</v>
      </c>
      <c r="B288" s="193" t="s">
        <v>1022</v>
      </c>
      <c r="C288" s="32" t="s">
        <v>446</v>
      </c>
      <c r="D288" s="7" t="s">
        <v>470</v>
      </c>
      <c r="E288" s="7" t="s">
        <v>447</v>
      </c>
      <c r="F288" s="7" t="s">
        <v>471</v>
      </c>
      <c r="G288" s="7" t="s">
        <v>472</v>
      </c>
      <c r="H288" s="7" t="s">
        <v>473</v>
      </c>
      <c r="I288" s="40" t="s">
        <v>474</v>
      </c>
      <c r="J288" s="40" t="s">
        <v>197</v>
      </c>
      <c r="K288" s="41" t="s">
        <v>475</v>
      </c>
      <c r="L288" s="187" t="s">
        <v>76</v>
      </c>
      <c r="M288" s="187" t="s">
        <v>58</v>
      </c>
      <c r="N288" s="82">
        <v>287.68</v>
      </c>
      <c r="O288" s="82">
        <v>287.68</v>
      </c>
      <c r="P288" s="82">
        <v>1132.2</v>
      </c>
      <c r="Q288" s="82">
        <v>0</v>
      </c>
      <c r="R288" s="82">
        <v>0</v>
      </c>
      <c r="S288" s="83">
        <v>0</v>
      </c>
    </row>
    <row r="289" spans="1:19" s="355" customFormat="1" ht="160.5" customHeight="1">
      <c r="A289" s="454"/>
      <c r="B289" s="215" t="s">
        <v>1023</v>
      </c>
      <c r="C289" s="31" t="s">
        <v>476</v>
      </c>
      <c r="D289" s="1" t="s">
        <v>472</v>
      </c>
      <c r="E289" s="1" t="s">
        <v>477</v>
      </c>
      <c r="F289" s="1" t="s">
        <v>466</v>
      </c>
      <c r="G289" s="1" t="s">
        <v>478</v>
      </c>
      <c r="H289" s="2" t="s">
        <v>479</v>
      </c>
      <c r="I289" s="1" t="s">
        <v>480</v>
      </c>
      <c r="J289" s="1" t="s">
        <v>481</v>
      </c>
      <c r="K289" s="42" t="s">
        <v>482</v>
      </c>
      <c r="L289" s="187" t="s">
        <v>76</v>
      </c>
      <c r="M289" s="187" t="s">
        <v>64</v>
      </c>
      <c r="N289" s="82">
        <f>1534.976+12491.92</f>
        <v>14026.896</v>
      </c>
      <c r="O289" s="82">
        <f>1534.976+10139.728</f>
        <v>11674.704</v>
      </c>
      <c r="P289" s="82">
        <f>1630.9+12222.6</f>
        <v>13853.5</v>
      </c>
      <c r="Q289" s="82">
        <f>1630.9+13726.6</f>
        <v>15357.5</v>
      </c>
      <c r="R289" s="82">
        <f>1630.9+13726.6</f>
        <v>15357.5</v>
      </c>
      <c r="S289" s="83">
        <v>0</v>
      </c>
    </row>
    <row r="290" spans="1:19" s="355" customFormat="1" ht="157.5" customHeight="1">
      <c r="A290" s="455"/>
      <c r="B290" s="215" t="s">
        <v>1024</v>
      </c>
      <c r="C290" s="43" t="s">
        <v>464</v>
      </c>
      <c r="D290" s="44" t="s">
        <v>405</v>
      </c>
      <c r="E290" s="44" t="s">
        <v>465</v>
      </c>
      <c r="F290" s="15" t="s">
        <v>466</v>
      </c>
      <c r="G290" s="15" t="s">
        <v>467</v>
      </c>
      <c r="H290" s="15" t="s">
        <v>437</v>
      </c>
      <c r="I290" s="15" t="s">
        <v>821</v>
      </c>
      <c r="J290" s="45" t="s">
        <v>468</v>
      </c>
      <c r="K290" s="46" t="s">
        <v>469</v>
      </c>
      <c r="L290" s="187" t="s">
        <v>46</v>
      </c>
      <c r="M290" s="187" t="s">
        <v>65</v>
      </c>
      <c r="N290" s="82">
        <v>41369.62818</v>
      </c>
      <c r="O290" s="82">
        <v>40736.14437</v>
      </c>
      <c r="P290" s="82">
        <v>43846</v>
      </c>
      <c r="Q290" s="82">
        <f>29581.4+84+14385.6+930.8</f>
        <v>44981.8</v>
      </c>
      <c r="R290" s="82">
        <f>29581.4+84+14385.6+930.8</f>
        <v>44981.8</v>
      </c>
      <c r="S290" s="83">
        <v>0</v>
      </c>
    </row>
    <row r="291" spans="1:19" s="355" customFormat="1" ht="109.5" customHeight="1">
      <c r="A291" s="460" t="s">
        <v>20</v>
      </c>
      <c r="B291" s="193" t="s">
        <v>503</v>
      </c>
      <c r="C291" s="13" t="s">
        <v>483</v>
      </c>
      <c r="D291" s="13" t="s">
        <v>484</v>
      </c>
      <c r="E291" s="13" t="s">
        <v>485</v>
      </c>
      <c r="F291" s="13" t="s">
        <v>486</v>
      </c>
      <c r="G291" s="13" t="s">
        <v>487</v>
      </c>
      <c r="H291" s="30" t="s">
        <v>479</v>
      </c>
      <c r="I291" s="13" t="s">
        <v>488</v>
      </c>
      <c r="J291" s="13" t="s">
        <v>232</v>
      </c>
      <c r="K291" s="13" t="s">
        <v>489</v>
      </c>
      <c r="L291" s="179" t="s">
        <v>58</v>
      </c>
      <c r="M291" s="179" t="s">
        <v>65</v>
      </c>
      <c r="N291" s="221">
        <f>1115+635</f>
        <v>1750</v>
      </c>
      <c r="O291" s="221">
        <f>1094.72687+609.08835</f>
        <v>1703.81522</v>
      </c>
      <c r="P291" s="221">
        <f>665+1115</f>
        <v>1780</v>
      </c>
      <c r="Q291" s="221">
        <f>665+1115</f>
        <v>1780</v>
      </c>
      <c r="R291" s="221">
        <f>665+1115</f>
        <v>1780</v>
      </c>
      <c r="S291" s="403">
        <v>0</v>
      </c>
    </row>
    <row r="292" spans="1:19" s="355" customFormat="1" ht="120">
      <c r="A292" s="455"/>
      <c r="B292" s="193"/>
      <c r="C292" s="13" t="s">
        <v>490</v>
      </c>
      <c r="D292" s="13" t="s">
        <v>491</v>
      </c>
      <c r="E292" s="13" t="s">
        <v>492</v>
      </c>
      <c r="F292" s="13" t="s">
        <v>493</v>
      </c>
      <c r="G292" s="13" t="s">
        <v>494</v>
      </c>
      <c r="H292" s="13" t="s">
        <v>495</v>
      </c>
      <c r="I292" s="24" t="s">
        <v>496</v>
      </c>
      <c r="J292" s="24" t="s">
        <v>232</v>
      </c>
      <c r="K292" s="24" t="s">
        <v>497</v>
      </c>
      <c r="L292" s="222"/>
      <c r="M292" s="222"/>
      <c r="N292" s="223"/>
      <c r="O292" s="223"/>
      <c r="P292" s="223"/>
      <c r="Q292" s="223"/>
      <c r="R292" s="223"/>
      <c r="S292" s="407"/>
    </row>
    <row r="293" spans="1:19" s="355" customFormat="1" ht="131.25" customHeight="1">
      <c r="A293" s="193" t="s">
        <v>131</v>
      </c>
      <c r="B293" s="193" t="s">
        <v>502</v>
      </c>
      <c r="C293" s="13" t="s">
        <v>409</v>
      </c>
      <c r="D293" s="13" t="s">
        <v>458</v>
      </c>
      <c r="E293" s="13" t="s">
        <v>498</v>
      </c>
      <c r="F293" s="13" t="s">
        <v>499</v>
      </c>
      <c r="G293" s="13" t="s">
        <v>318</v>
      </c>
      <c r="H293" s="13" t="s">
        <v>500</v>
      </c>
      <c r="I293" s="13" t="s">
        <v>462</v>
      </c>
      <c r="J293" s="13" t="s">
        <v>232</v>
      </c>
      <c r="K293" s="13" t="s">
        <v>501</v>
      </c>
      <c r="L293" s="187" t="s">
        <v>58</v>
      </c>
      <c r="M293" s="187" t="s">
        <v>65</v>
      </c>
      <c r="N293" s="82">
        <f>7666+144</f>
        <v>7810</v>
      </c>
      <c r="O293" s="82">
        <f>7618.50214+144</f>
        <v>7762.50214</v>
      </c>
      <c r="P293" s="82">
        <f>7666+144</f>
        <v>7810</v>
      </c>
      <c r="Q293" s="82">
        <v>7810</v>
      </c>
      <c r="R293" s="82">
        <v>7810</v>
      </c>
      <c r="S293" s="83">
        <v>0</v>
      </c>
    </row>
    <row r="294" spans="1:19" s="355" customFormat="1" ht="156" customHeight="1">
      <c r="A294" s="193" t="s">
        <v>132</v>
      </c>
      <c r="B294" s="193" t="s">
        <v>504</v>
      </c>
      <c r="C294" s="187" t="s">
        <v>877</v>
      </c>
      <c r="D294" s="193" t="s">
        <v>878</v>
      </c>
      <c r="E294" s="187" t="s">
        <v>879</v>
      </c>
      <c r="F294" s="13" t="s">
        <v>505</v>
      </c>
      <c r="G294" s="13" t="s">
        <v>506</v>
      </c>
      <c r="H294" s="30" t="s">
        <v>479</v>
      </c>
      <c r="I294" s="13" t="s">
        <v>507</v>
      </c>
      <c r="J294" s="30" t="s">
        <v>232</v>
      </c>
      <c r="K294" s="30" t="s">
        <v>508</v>
      </c>
      <c r="L294" s="187" t="s">
        <v>58</v>
      </c>
      <c r="M294" s="187" t="s">
        <v>65</v>
      </c>
      <c r="N294" s="82">
        <v>1.3</v>
      </c>
      <c r="O294" s="82">
        <v>0</v>
      </c>
      <c r="P294" s="82">
        <v>1.3</v>
      </c>
      <c r="Q294" s="82">
        <v>1.3</v>
      </c>
      <c r="R294" s="82">
        <v>1.3</v>
      </c>
      <c r="S294" s="83">
        <v>0</v>
      </c>
    </row>
    <row r="295" spans="1:19" s="355" customFormat="1" ht="97.5" customHeight="1">
      <c r="A295" s="193" t="s">
        <v>133</v>
      </c>
      <c r="B295" s="193" t="s">
        <v>509</v>
      </c>
      <c r="C295" s="34" t="s">
        <v>510</v>
      </c>
      <c r="D295" s="35" t="s">
        <v>511</v>
      </c>
      <c r="E295" s="35" t="s">
        <v>182</v>
      </c>
      <c r="F295" s="35" t="s">
        <v>512</v>
      </c>
      <c r="G295" s="35" t="s">
        <v>472</v>
      </c>
      <c r="H295" s="35" t="s">
        <v>473</v>
      </c>
      <c r="I295" s="47" t="s">
        <v>513</v>
      </c>
      <c r="J295" s="47" t="s">
        <v>197</v>
      </c>
      <c r="K295" s="48" t="s">
        <v>514</v>
      </c>
      <c r="L295" s="187" t="s">
        <v>65</v>
      </c>
      <c r="M295" s="187" t="s">
        <v>58</v>
      </c>
      <c r="N295" s="82">
        <v>195.4</v>
      </c>
      <c r="O295" s="82">
        <v>137.40619</v>
      </c>
      <c r="P295" s="82">
        <v>195.4</v>
      </c>
      <c r="Q295" s="82">
        <v>195.4</v>
      </c>
      <c r="R295" s="82">
        <v>195.4</v>
      </c>
      <c r="S295" s="83">
        <v>0</v>
      </c>
    </row>
    <row r="296" spans="1:19" s="355" customFormat="1" ht="106.5" customHeight="1">
      <c r="A296" s="193" t="s">
        <v>21</v>
      </c>
      <c r="B296" s="193" t="s">
        <v>515</v>
      </c>
      <c r="C296" s="36" t="s">
        <v>516</v>
      </c>
      <c r="D296" s="36" t="s">
        <v>517</v>
      </c>
      <c r="E296" s="36" t="s">
        <v>518</v>
      </c>
      <c r="F296" s="36" t="s">
        <v>519</v>
      </c>
      <c r="G296" s="36" t="s">
        <v>487</v>
      </c>
      <c r="H296" s="36" t="s">
        <v>520</v>
      </c>
      <c r="I296" s="37" t="s">
        <v>521</v>
      </c>
      <c r="J296" s="37" t="s">
        <v>197</v>
      </c>
      <c r="K296" s="49" t="s">
        <v>522</v>
      </c>
      <c r="L296" s="187" t="s">
        <v>65</v>
      </c>
      <c r="M296" s="187" t="s">
        <v>63</v>
      </c>
      <c r="N296" s="82">
        <v>687.5</v>
      </c>
      <c r="O296" s="82">
        <v>667.39486</v>
      </c>
      <c r="P296" s="82">
        <v>687.6</v>
      </c>
      <c r="Q296" s="82">
        <v>687.6</v>
      </c>
      <c r="R296" s="82">
        <v>687.6</v>
      </c>
      <c r="S296" s="83">
        <v>0</v>
      </c>
    </row>
    <row r="297" spans="1:19" s="355" customFormat="1" ht="220.5" customHeight="1">
      <c r="A297" s="193" t="s">
        <v>134</v>
      </c>
      <c r="B297" s="193" t="s">
        <v>532</v>
      </c>
      <c r="C297" s="13" t="s">
        <v>523</v>
      </c>
      <c r="D297" s="13" t="s">
        <v>524</v>
      </c>
      <c r="E297" s="13" t="s">
        <v>525</v>
      </c>
      <c r="F297" s="13" t="s">
        <v>526</v>
      </c>
      <c r="G297" s="13" t="s">
        <v>527</v>
      </c>
      <c r="H297" s="30" t="s">
        <v>528</v>
      </c>
      <c r="I297" s="13" t="s">
        <v>529</v>
      </c>
      <c r="J297" s="30" t="s">
        <v>530</v>
      </c>
      <c r="K297" s="30" t="s">
        <v>531</v>
      </c>
      <c r="L297" s="187" t="s">
        <v>58</v>
      </c>
      <c r="M297" s="187" t="s">
        <v>65</v>
      </c>
      <c r="N297" s="82">
        <v>25</v>
      </c>
      <c r="O297" s="82">
        <v>25</v>
      </c>
      <c r="P297" s="82">
        <v>25</v>
      </c>
      <c r="Q297" s="82">
        <v>25</v>
      </c>
      <c r="R297" s="82">
        <v>25</v>
      </c>
      <c r="S297" s="83">
        <v>0</v>
      </c>
    </row>
    <row r="298" spans="1:19" s="355" customFormat="1" ht="324.75" customHeight="1">
      <c r="A298" s="193" t="s">
        <v>22</v>
      </c>
      <c r="B298" s="193" t="s">
        <v>533</v>
      </c>
      <c r="C298" s="13" t="s">
        <v>446</v>
      </c>
      <c r="D298" s="13" t="s">
        <v>470</v>
      </c>
      <c r="E298" s="13" t="s">
        <v>447</v>
      </c>
      <c r="F298" s="24" t="s">
        <v>534</v>
      </c>
      <c r="G298" s="24" t="s">
        <v>472</v>
      </c>
      <c r="H298" s="24" t="s">
        <v>535</v>
      </c>
      <c r="I298" s="3" t="s">
        <v>536</v>
      </c>
      <c r="J298" s="3" t="s">
        <v>197</v>
      </c>
      <c r="K298" s="28" t="s">
        <v>537</v>
      </c>
      <c r="L298" s="187" t="s">
        <v>76</v>
      </c>
      <c r="M298" s="187" t="s">
        <v>58</v>
      </c>
      <c r="N298" s="82">
        <v>338.2</v>
      </c>
      <c r="O298" s="82">
        <v>338.2</v>
      </c>
      <c r="P298" s="82">
        <v>338.2</v>
      </c>
      <c r="Q298" s="82">
        <v>338.2</v>
      </c>
      <c r="R298" s="82">
        <v>338.2</v>
      </c>
      <c r="S298" s="83">
        <v>0</v>
      </c>
    </row>
    <row r="299" spans="1:19" s="355" customFormat="1" ht="180">
      <c r="A299" s="193" t="s">
        <v>135</v>
      </c>
      <c r="B299" s="193" t="s">
        <v>538</v>
      </c>
      <c r="C299" s="13" t="s">
        <v>539</v>
      </c>
      <c r="D299" s="13" t="s">
        <v>540</v>
      </c>
      <c r="E299" s="30" t="s">
        <v>541</v>
      </c>
      <c r="F299" s="13" t="s">
        <v>542</v>
      </c>
      <c r="G299" s="13" t="s">
        <v>318</v>
      </c>
      <c r="H299" s="13" t="s">
        <v>543</v>
      </c>
      <c r="I299" s="13" t="s">
        <v>544</v>
      </c>
      <c r="J299" s="33" t="s">
        <v>443</v>
      </c>
      <c r="K299" s="33" t="s">
        <v>545</v>
      </c>
      <c r="L299" s="187" t="s">
        <v>58</v>
      </c>
      <c r="M299" s="187" t="s">
        <v>65</v>
      </c>
      <c r="N299" s="82">
        <v>58.4</v>
      </c>
      <c r="O299" s="82">
        <v>58.4</v>
      </c>
      <c r="P299" s="82">
        <v>101.5</v>
      </c>
      <c r="Q299" s="82">
        <v>101.5</v>
      </c>
      <c r="R299" s="82">
        <v>101.5</v>
      </c>
      <c r="S299" s="83">
        <v>0</v>
      </c>
    </row>
    <row r="300" spans="1:19" s="356" customFormat="1" ht="108">
      <c r="A300" s="162" t="s">
        <v>23</v>
      </c>
      <c r="B300" s="162" t="s">
        <v>136</v>
      </c>
      <c r="C300" s="163" t="s">
        <v>53</v>
      </c>
      <c r="D300" s="163" t="s">
        <v>53</v>
      </c>
      <c r="E300" s="163" t="s">
        <v>53</v>
      </c>
      <c r="F300" s="163" t="s">
        <v>53</v>
      </c>
      <c r="G300" s="163" t="s">
        <v>53</v>
      </c>
      <c r="H300" s="163" t="s">
        <v>53</v>
      </c>
      <c r="I300" s="163" t="s">
        <v>53</v>
      </c>
      <c r="J300" s="163" t="s">
        <v>53</v>
      </c>
      <c r="K300" s="163" t="s">
        <v>53</v>
      </c>
      <c r="L300" s="163"/>
      <c r="M300" s="163"/>
      <c r="N300" s="165">
        <f aca="true" t="shared" si="49" ref="N300:S300">N301+N305+N309</f>
        <v>313469.9039</v>
      </c>
      <c r="O300" s="165">
        <f t="shared" si="49"/>
        <v>302809.97514</v>
      </c>
      <c r="P300" s="165">
        <f t="shared" si="49"/>
        <v>255825.54624000003</v>
      </c>
      <c r="Q300" s="165">
        <f>Q301+Q305+Q309</f>
        <v>177593.7</v>
      </c>
      <c r="R300" s="165">
        <f>R301+R305+R309</f>
        <v>166682</v>
      </c>
      <c r="S300" s="165" t="e">
        <f t="shared" si="49"/>
        <v>#REF!</v>
      </c>
    </row>
    <row r="301" spans="1:19" s="356" customFormat="1" ht="36">
      <c r="A301" s="260" t="s">
        <v>137</v>
      </c>
      <c r="B301" s="301"/>
      <c r="C301" s="302"/>
      <c r="D301" s="302"/>
      <c r="E301" s="302"/>
      <c r="F301" s="302"/>
      <c r="G301" s="302"/>
      <c r="H301" s="302"/>
      <c r="I301" s="302"/>
      <c r="J301" s="302"/>
      <c r="K301" s="302"/>
      <c r="L301" s="302"/>
      <c r="M301" s="302"/>
      <c r="N301" s="303">
        <f aca="true" t="shared" si="50" ref="N301:S301">SUM(N303:N304)</f>
        <v>51000.100000000006</v>
      </c>
      <c r="O301" s="303">
        <f t="shared" si="50"/>
        <v>51000.1</v>
      </c>
      <c r="P301" s="303">
        <f t="shared" si="50"/>
        <v>56343.35</v>
      </c>
      <c r="Q301" s="303">
        <f>SUM(Q303:Q304)</f>
        <v>55782.3</v>
      </c>
      <c r="R301" s="303">
        <f>SUM(R303:R304)</f>
        <v>55782.3</v>
      </c>
      <c r="S301" s="303">
        <f t="shared" si="50"/>
        <v>55782.3</v>
      </c>
    </row>
    <row r="302" spans="1:19" s="356" customFormat="1" ht="12">
      <c r="A302" s="234" t="s">
        <v>246</v>
      </c>
      <c r="B302" s="234"/>
      <c r="C302" s="191"/>
      <c r="D302" s="191"/>
      <c r="E302" s="191"/>
      <c r="F302" s="191"/>
      <c r="G302" s="191"/>
      <c r="H302" s="191"/>
      <c r="I302" s="191"/>
      <c r="J302" s="191"/>
      <c r="K302" s="191"/>
      <c r="L302" s="191"/>
      <c r="M302" s="191"/>
      <c r="N302" s="304"/>
      <c r="O302" s="304"/>
      <c r="P302" s="304"/>
      <c r="Q302" s="304"/>
      <c r="R302" s="304"/>
      <c r="S302" s="304"/>
    </row>
    <row r="303" spans="1:19" s="355" customFormat="1" ht="119.25" customHeight="1">
      <c r="A303" s="177"/>
      <c r="B303" s="195" t="s">
        <v>552</v>
      </c>
      <c r="C303" s="114" t="s">
        <v>168</v>
      </c>
      <c r="D303" s="114" t="s">
        <v>441</v>
      </c>
      <c r="E303" s="114" t="s">
        <v>170</v>
      </c>
      <c r="F303" s="114" t="s">
        <v>442</v>
      </c>
      <c r="G303" s="114" t="s">
        <v>443</v>
      </c>
      <c r="H303" s="114" t="s">
        <v>437</v>
      </c>
      <c r="I303" s="114" t="s">
        <v>444</v>
      </c>
      <c r="J303" s="115" t="s">
        <v>202</v>
      </c>
      <c r="K303" s="115" t="s">
        <v>445</v>
      </c>
      <c r="L303" s="195" t="s">
        <v>50</v>
      </c>
      <c r="M303" s="195" t="s">
        <v>58</v>
      </c>
      <c r="N303" s="197">
        <f>6895.3+44104.8</f>
        <v>51000.100000000006</v>
      </c>
      <c r="O303" s="197">
        <v>51000.1</v>
      </c>
      <c r="P303" s="197">
        <v>56343.35</v>
      </c>
      <c r="Q303" s="197">
        <v>55782.3</v>
      </c>
      <c r="R303" s="197">
        <v>55782.3</v>
      </c>
      <c r="S303" s="197">
        <v>55782.3</v>
      </c>
    </row>
    <row r="304" spans="1:19" s="355" customFormat="1" ht="60">
      <c r="A304" s="177"/>
      <c r="B304" s="195"/>
      <c r="C304" s="111" t="s">
        <v>168</v>
      </c>
      <c r="D304" s="111" t="s">
        <v>548</v>
      </c>
      <c r="E304" s="111" t="s">
        <v>170</v>
      </c>
      <c r="F304" s="111" t="s">
        <v>705</v>
      </c>
      <c r="G304" s="111" t="s">
        <v>549</v>
      </c>
      <c r="H304" s="111" t="s">
        <v>179</v>
      </c>
      <c r="I304" s="111" t="s">
        <v>550</v>
      </c>
      <c r="J304" s="111" t="s">
        <v>419</v>
      </c>
      <c r="K304" s="111" t="s">
        <v>551</v>
      </c>
      <c r="L304" s="161"/>
      <c r="M304" s="161"/>
      <c r="N304" s="210"/>
      <c r="O304" s="210"/>
      <c r="P304" s="210"/>
      <c r="Q304" s="210"/>
      <c r="R304" s="210"/>
      <c r="S304" s="210"/>
    </row>
    <row r="305" spans="1:19" s="356" customFormat="1" ht="144">
      <c r="A305" s="162" t="s">
        <v>24</v>
      </c>
      <c r="B305" s="162" t="s">
        <v>138</v>
      </c>
      <c r="C305" s="163" t="s">
        <v>53</v>
      </c>
      <c r="D305" s="163" t="s">
        <v>53</v>
      </c>
      <c r="E305" s="163" t="s">
        <v>53</v>
      </c>
      <c r="F305" s="163" t="s">
        <v>53</v>
      </c>
      <c r="G305" s="163" t="s">
        <v>53</v>
      </c>
      <c r="H305" s="163" t="s">
        <v>53</v>
      </c>
      <c r="I305" s="163" t="s">
        <v>53</v>
      </c>
      <c r="J305" s="163" t="s">
        <v>53</v>
      </c>
      <c r="K305" s="163" t="s">
        <v>53</v>
      </c>
      <c r="L305" s="163"/>
      <c r="M305" s="163"/>
      <c r="N305" s="165">
        <f aca="true" t="shared" si="51" ref="N305:S305">SUM(N306:N307)</f>
        <v>16031.693</v>
      </c>
      <c r="O305" s="165">
        <f t="shared" si="51"/>
        <v>15159.13033</v>
      </c>
      <c r="P305" s="165">
        <f t="shared" si="51"/>
        <v>11187.4</v>
      </c>
      <c r="Q305" s="165">
        <f t="shared" si="51"/>
        <v>11217.699999999999</v>
      </c>
      <c r="R305" s="165">
        <f t="shared" si="51"/>
        <v>11216.199999999999</v>
      </c>
      <c r="S305" s="165">
        <f t="shared" si="51"/>
        <v>0</v>
      </c>
    </row>
    <row r="306" spans="1:19" s="355" customFormat="1" ht="144">
      <c r="A306" s="193" t="s">
        <v>139</v>
      </c>
      <c r="B306" s="193" t="s">
        <v>558</v>
      </c>
      <c r="C306" s="29" t="s">
        <v>553</v>
      </c>
      <c r="D306" s="29" t="s">
        <v>554</v>
      </c>
      <c r="E306" s="29" t="s">
        <v>555</v>
      </c>
      <c r="F306" s="29" t="s">
        <v>556</v>
      </c>
      <c r="G306" s="29" t="s">
        <v>318</v>
      </c>
      <c r="H306" s="29" t="s">
        <v>179</v>
      </c>
      <c r="I306" s="193" t="s">
        <v>57</v>
      </c>
      <c r="J306" s="193" t="s">
        <v>57</v>
      </c>
      <c r="K306" s="193" t="s">
        <v>57</v>
      </c>
      <c r="L306" s="187" t="s">
        <v>64</v>
      </c>
      <c r="M306" s="187" t="s">
        <v>71</v>
      </c>
      <c r="N306" s="82">
        <v>1291.9</v>
      </c>
      <c r="O306" s="82">
        <v>1291.9</v>
      </c>
      <c r="P306" s="193">
        <v>1268.9</v>
      </c>
      <c r="Q306" s="193">
        <v>1272.4</v>
      </c>
      <c r="R306" s="193">
        <v>1270.9</v>
      </c>
      <c r="S306" s="299">
        <v>0</v>
      </c>
    </row>
    <row r="307" spans="1:19" s="355" customFormat="1" ht="60" customHeight="1">
      <c r="A307" s="193" t="s">
        <v>140</v>
      </c>
      <c r="B307" s="193" t="s">
        <v>557</v>
      </c>
      <c r="C307" s="452" t="s">
        <v>409</v>
      </c>
      <c r="D307" s="452" t="s">
        <v>458</v>
      </c>
      <c r="E307" s="452" t="s">
        <v>411</v>
      </c>
      <c r="F307" s="452" t="s">
        <v>459</v>
      </c>
      <c r="G307" s="452" t="s">
        <v>460</v>
      </c>
      <c r="H307" s="529" t="s">
        <v>461</v>
      </c>
      <c r="I307" s="13" t="s">
        <v>559</v>
      </c>
      <c r="J307" s="13" t="s">
        <v>197</v>
      </c>
      <c r="K307" s="13" t="s">
        <v>560</v>
      </c>
      <c r="L307" s="236" t="s">
        <v>46</v>
      </c>
      <c r="M307" s="236" t="s">
        <v>65</v>
      </c>
      <c r="N307" s="238">
        <f>11769.793+2970</f>
        <v>14739.793</v>
      </c>
      <c r="O307" s="238">
        <f>10897.23033+2970</f>
        <v>13867.23033</v>
      </c>
      <c r="P307" s="238">
        <f>1980+7938.5</f>
        <v>9918.5</v>
      </c>
      <c r="Q307" s="238">
        <v>9945.3</v>
      </c>
      <c r="R307" s="238">
        <v>9945.3</v>
      </c>
      <c r="S307" s="238">
        <v>0</v>
      </c>
    </row>
    <row r="308" spans="1:19" s="355" customFormat="1" ht="72" customHeight="1">
      <c r="A308" s="185"/>
      <c r="B308" s="185"/>
      <c r="C308" s="453"/>
      <c r="D308" s="453"/>
      <c r="E308" s="453"/>
      <c r="F308" s="453"/>
      <c r="G308" s="453"/>
      <c r="H308" s="530"/>
      <c r="I308" s="1" t="s">
        <v>561</v>
      </c>
      <c r="J308" s="1" t="s">
        <v>197</v>
      </c>
      <c r="K308" s="1" t="s">
        <v>562</v>
      </c>
      <c r="L308" s="200"/>
      <c r="M308" s="200"/>
      <c r="N308" s="241"/>
      <c r="O308" s="241"/>
      <c r="P308" s="241"/>
      <c r="Q308" s="241"/>
      <c r="R308" s="241"/>
      <c r="S308" s="241"/>
    </row>
    <row r="309" spans="1:19" s="356" customFormat="1" ht="36">
      <c r="A309" s="162" t="s">
        <v>141</v>
      </c>
      <c r="B309" s="162" t="s">
        <v>142</v>
      </c>
      <c r="C309" s="163" t="s">
        <v>53</v>
      </c>
      <c r="D309" s="163" t="s">
        <v>53</v>
      </c>
      <c r="E309" s="163" t="s">
        <v>53</v>
      </c>
      <c r="F309" s="163" t="s">
        <v>53</v>
      </c>
      <c r="G309" s="163" t="s">
        <v>53</v>
      </c>
      <c r="H309" s="163" t="s">
        <v>53</v>
      </c>
      <c r="I309" s="163" t="s">
        <v>53</v>
      </c>
      <c r="J309" s="163" t="s">
        <v>53</v>
      </c>
      <c r="K309" s="163" t="s">
        <v>53</v>
      </c>
      <c r="L309" s="202"/>
      <c r="M309" s="202"/>
      <c r="N309" s="203">
        <f aca="true" t="shared" si="52" ref="N309:S309">N310</f>
        <v>246438.11089999997</v>
      </c>
      <c r="O309" s="203">
        <f t="shared" si="52"/>
        <v>236650.74481</v>
      </c>
      <c r="P309" s="203">
        <f t="shared" si="52"/>
        <v>188294.79624000003</v>
      </c>
      <c r="Q309" s="203">
        <f t="shared" si="52"/>
        <v>110593.70000000001</v>
      </c>
      <c r="R309" s="203">
        <f t="shared" si="52"/>
        <v>99683.5</v>
      </c>
      <c r="S309" s="203" t="e">
        <f t="shared" si="52"/>
        <v>#REF!</v>
      </c>
    </row>
    <row r="310" spans="1:19" s="356" customFormat="1" ht="48">
      <c r="A310" s="162" t="s">
        <v>143</v>
      </c>
      <c r="B310" s="162" t="s">
        <v>144</v>
      </c>
      <c r="C310" s="163" t="s">
        <v>53</v>
      </c>
      <c r="D310" s="163" t="s">
        <v>53</v>
      </c>
      <c r="E310" s="163" t="s">
        <v>53</v>
      </c>
      <c r="F310" s="163" t="s">
        <v>53</v>
      </c>
      <c r="G310" s="163" t="s">
        <v>53</v>
      </c>
      <c r="H310" s="163" t="s">
        <v>53</v>
      </c>
      <c r="I310" s="163" t="s">
        <v>53</v>
      </c>
      <c r="J310" s="163" t="s">
        <v>53</v>
      </c>
      <c r="K310" s="163" t="s">
        <v>53</v>
      </c>
      <c r="L310" s="163"/>
      <c r="M310" s="163"/>
      <c r="N310" s="165">
        <f>N311+N315+N350+N357+N360+N364+N370+N378+N380+N398+N399+N419+N420+N423+N424+N425+N426+N427</f>
        <v>246438.11089999997</v>
      </c>
      <c r="O310" s="165">
        <f>O311+O315+O350+O357+O360+O364+O370+O378+O380+O398+O399+O419+O420+O423+O424+O425+O426+O427</f>
        <v>236650.74481</v>
      </c>
      <c r="P310" s="165">
        <f>P311+P315+P350+P357+P360+P364+P370+P378+P380+P398+P399+P419+P420+P423+P424+P425+P426+P427</f>
        <v>188294.79624000003</v>
      </c>
      <c r="Q310" s="165">
        <f>Q311+Q315+Q350+Q357+Q360+Q364+Q370+Q378+Q380+Q398+Q399+Q419+Q420+Q423+Q424+Q425+Q426+Q427</f>
        <v>110593.70000000001</v>
      </c>
      <c r="R310" s="165">
        <f>R311+R315+R350+R357+R360+R364+R370+R378+R380+R398+R399+R419+R420+R423+R424+R425+R426+R427</f>
        <v>99683.5</v>
      </c>
      <c r="S310" s="165" t="e">
        <f>S311+S315+S350+S357+#REF!+S361+S366+S373+S375+S395+S396+S414+S417+S420+S421+S422+S423+S424</f>
        <v>#REF!</v>
      </c>
    </row>
    <row r="311" spans="1:19" s="356" customFormat="1" ht="36" customHeight="1">
      <c r="A311" s="162" t="s">
        <v>145</v>
      </c>
      <c r="B311" s="226">
        <v>1901</v>
      </c>
      <c r="C311" s="162" t="s">
        <v>57</v>
      </c>
      <c r="D311" s="162" t="s">
        <v>57</v>
      </c>
      <c r="E311" s="162" t="s">
        <v>57</v>
      </c>
      <c r="F311" s="162" t="s">
        <v>57</v>
      </c>
      <c r="G311" s="162" t="s">
        <v>57</v>
      </c>
      <c r="H311" s="162" t="s">
        <v>57</v>
      </c>
      <c r="I311" s="116"/>
      <c r="J311" s="116"/>
      <c r="K311" s="117"/>
      <c r="L311" s="163"/>
      <c r="M311" s="163"/>
      <c r="N311" s="165">
        <f aca="true" t="shared" si="53" ref="N311:S311">SUM(N312:N314)</f>
        <v>200</v>
      </c>
      <c r="O311" s="165">
        <f t="shared" si="53"/>
        <v>200</v>
      </c>
      <c r="P311" s="165">
        <f t="shared" si="53"/>
        <v>0</v>
      </c>
      <c r="Q311" s="165">
        <f>SUM(Q312:Q314)</f>
        <v>0</v>
      </c>
      <c r="R311" s="165">
        <f>SUM(R312:R314)</f>
        <v>0</v>
      </c>
      <c r="S311" s="165">
        <f t="shared" si="53"/>
        <v>0</v>
      </c>
    </row>
    <row r="312" spans="1:19" s="355" customFormat="1" ht="60">
      <c r="A312" s="305" t="s">
        <v>1091</v>
      </c>
      <c r="B312" s="307" t="s">
        <v>610</v>
      </c>
      <c r="C312" s="305"/>
      <c r="D312" s="305"/>
      <c r="E312" s="305"/>
      <c r="F312" s="305"/>
      <c r="G312" s="305"/>
      <c r="H312" s="305"/>
      <c r="I312" s="37" t="s">
        <v>974</v>
      </c>
      <c r="J312" s="37" t="s">
        <v>197</v>
      </c>
      <c r="K312" s="49" t="s">
        <v>975</v>
      </c>
      <c r="L312" s="309" t="s">
        <v>58</v>
      </c>
      <c r="M312" s="309" t="s">
        <v>65</v>
      </c>
      <c r="N312" s="341">
        <v>100</v>
      </c>
      <c r="O312" s="341">
        <v>100</v>
      </c>
      <c r="P312" s="341">
        <v>0</v>
      </c>
      <c r="Q312" s="341">
        <v>0</v>
      </c>
      <c r="R312" s="341">
        <v>0</v>
      </c>
      <c r="S312" s="341">
        <v>0</v>
      </c>
    </row>
    <row r="313" spans="1:19" s="355" customFormat="1" ht="60">
      <c r="A313" s="305" t="s">
        <v>1092</v>
      </c>
      <c r="B313" s="307" t="s">
        <v>575</v>
      </c>
      <c r="C313" s="305"/>
      <c r="D313" s="305"/>
      <c r="E313" s="305"/>
      <c r="F313" s="305"/>
      <c r="G313" s="305"/>
      <c r="H313" s="305"/>
      <c r="I313" s="37" t="s">
        <v>976</v>
      </c>
      <c r="J313" s="37" t="s">
        <v>197</v>
      </c>
      <c r="K313" s="49" t="s">
        <v>975</v>
      </c>
      <c r="L313" s="309" t="s">
        <v>58</v>
      </c>
      <c r="M313" s="309" t="s">
        <v>65</v>
      </c>
      <c r="N313" s="341">
        <v>50</v>
      </c>
      <c r="O313" s="341">
        <v>50</v>
      </c>
      <c r="P313" s="341">
        <v>0</v>
      </c>
      <c r="Q313" s="341">
        <v>0</v>
      </c>
      <c r="R313" s="341">
        <v>0</v>
      </c>
      <c r="S313" s="341">
        <v>0</v>
      </c>
    </row>
    <row r="314" spans="1:19" s="355" customFormat="1" ht="48">
      <c r="A314" s="305" t="s">
        <v>1093</v>
      </c>
      <c r="B314" s="307" t="s">
        <v>578</v>
      </c>
      <c r="C314" s="305"/>
      <c r="D314" s="305"/>
      <c r="E314" s="305"/>
      <c r="F314" s="305"/>
      <c r="G314" s="305"/>
      <c r="H314" s="305"/>
      <c r="I314" s="37" t="s">
        <v>1050</v>
      </c>
      <c r="J314" s="37" t="s">
        <v>197</v>
      </c>
      <c r="K314" s="49" t="s">
        <v>1051</v>
      </c>
      <c r="L314" s="309" t="s">
        <v>58</v>
      </c>
      <c r="M314" s="309" t="s">
        <v>65</v>
      </c>
      <c r="N314" s="341">
        <v>50</v>
      </c>
      <c r="O314" s="341">
        <v>50</v>
      </c>
      <c r="P314" s="341">
        <v>0</v>
      </c>
      <c r="Q314" s="341">
        <v>0</v>
      </c>
      <c r="R314" s="341">
        <v>0</v>
      </c>
      <c r="S314" s="341">
        <v>0</v>
      </c>
    </row>
    <row r="315" spans="1:19" s="356" customFormat="1" ht="72.75" customHeight="1">
      <c r="A315" s="201" t="s">
        <v>146</v>
      </c>
      <c r="B315" s="201" t="s">
        <v>147</v>
      </c>
      <c r="C315" s="201" t="s">
        <v>57</v>
      </c>
      <c r="D315" s="201" t="s">
        <v>57</v>
      </c>
      <c r="E315" s="201" t="s">
        <v>57</v>
      </c>
      <c r="F315" s="201" t="s">
        <v>57</v>
      </c>
      <c r="G315" s="201" t="s">
        <v>57</v>
      </c>
      <c r="H315" s="201" t="s">
        <v>57</v>
      </c>
      <c r="I315" s="201" t="s">
        <v>57</v>
      </c>
      <c r="J315" s="201" t="s">
        <v>57</v>
      </c>
      <c r="K315" s="201" t="s">
        <v>57</v>
      </c>
      <c r="L315" s="202"/>
      <c r="M315" s="202"/>
      <c r="N315" s="203">
        <f aca="true" t="shared" si="54" ref="N315:S315">SUM(N317:N318)</f>
        <v>97855.9007</v>
      </c>
      <c r="O315" s="203">
        <f t="shared" si="54"/>
        <v>91471.31325</v>
      </c>
      <c r="P315" s="203">
        <f t="shared" si="54"/>
        <v>66321.86499999999</v>
      </c>
      <c r="Q315" s="203">
        <f>SUM(Q317:Q318)</f>
        <v>40401.5</v>
      </c>
      <c r="R315" s="203">
        <f>SUM(R317:R318)</f>
        <v>29491.3</v>
      </c>
      <c r="S315" s="203">
        <f t="shared" si="54"/>
        <v>0</v>
      </c>
    </row>
    <row r="316" spans="1:19" s="355" customFormat="1" ht="12">
      <c r="A316" s="162" t="s">
        <v>246</v>
      </c>
      <c r="B316" s="193"/>
      <c r="C316" s="193"/>
      <c r="D316" s="193"/>
      <c r="E316" s="193"/>
      <c r="F316" s="193"/>
      <c r="G316" s="298"/>
      <c r="H316" s="305"/>
      <c r="I316" s="305"/>
      <c r="J316" s="305"/>
      <c r="K316" s="305"/>
      <c r="L316" s="186"/>
      <c r="M316" s="187"/>
      <c r="N316" s="82"/>
      <c r="O316" s="82"/>
      <c r="P316" s="82"/>
      <c r="Q316" s="82"/>
      <c r="R316" s="82"/>
      <c r="S316" s="82"/>
    </row>
    <row r="317" spans="1:19" s="357" customFormat="1" ht="12.75" customHeight="1">
      <c r="A317" s="265"/>
      <c r="B317" s="265"/>
      <c r="C317" s="265"/>
      <c r="D317" s="265"/>
      <c r="E317" s="265"/>
      <c r="F317" s="265"/>
      <c r="G317" s="306"/>
      <c r="H317" s="272"/>
      <c r="I317" s="272"/>
      <c r="J317" s="272"/>
      <c r="K317" s="272"/>
      <c r="L317" s="267" t="s">
        <v>58</v>
      </c>
      <c r="M317" s="267" t="s">
        <v>65</v>
      </c>
      <c r="N317" s="219">
        <f aca="true" t="shared" si="55" ref="N317:S317">N326</f>
        <v>500</v>
      </c>
      <c r="O317" s="219">
        <f t="shared" si="55"/>
        <v>499.99919</v>
      </c>
      <c r="P317" s="219">
        <f t="shared" si="55"/>
        <v>0</v>
      </c>
      <c r="Q317" s="219">
        <f>Q326</f>
        <v>0</v>
      </c>
      <c r="R317" s="219">
        <f>R326</f>
        <v>0</v>
      </c>
      <c r="S317" s="219">
        <f t="shared" si="55"/>
        <v>0</v>
      </c>
    </row>
    <row r="318" spans="1:19" s="357" customFormat="1" ht="12">
      <c r="A318" s="265"/>
      <c r="B318" s="265"/>
      <c r="C318" s="265"/>
      <c r="D318" s="265"/>
      <c r="E318" s="265"/>
      <c r="F318" s="265"/>
      <c r="G318" s="306"/>
      <c r="H318" s="272"/>
      <c r="I318" s="272"/>
      <c r="J318" s="272"/>
      <c r="K318" s="272"/>
      <c r="L318" s="176" t="s">
        <v>63</v>
      </c>
      <c r="M318" s="176" t="s">
        <v>64</v>
      </c>
      <c r="N318" s="219">
        <f>SUM(N320:N348)-N317</f>
        <v>97355.9007</v>
      </c>
      <c r="O318" s="219">
        <f>SUM(O320:O348)-O317</f>
        <v>90971.31406</v>
      </c>
      <c r="P318" s="219">
        <f>SUM(P320:P349)-P317</f>
        <v>66321.86499999999</v>
      </c>
      <c r="Q318" s="219">
        <f>SUM(Q320:Q349)-Q317</f>
        <v>40401.5</v>
      </c>
      <c r="R318" s="219">
        <f>SUM(R320:R349)-R317</f>
        <v>29491.3</v>
      </c>
      <c r="S318" s="219">
        <f>SUM(S320:S348)-S317</f>
        <v>0</v>
      </c>
    </row>
    <row r="319" spans="1:19" s="355" customFormat="1" ht="24">
      <c r="A319" s="162" t="s">
        <v>706</v>
      </c>
      <c r="B319" s="193"/>
      <c r="C319" s="193"/>
      <c r="D319" s="193"/>
      <c r="E319" s="193"/>
      <c r="F319" s="193"/>
      <c r="G319" s="298"/>
      <c r="H319" s="305"/>
      <c r="I319" s="305"/>
      <c r="J319" s="305"/>
      <c r="K319" s="305"/>
      <c r="L319" s="186"/>
      <c r="M319" s="187"/>
      <c r="N319" s="82"/>
      <c r="O319" s="82"/>
      <c r="P319" s="193"/>
      <c r="Q319" s="193"/>
      <c r="R319" s="193"/>
      <c r="S319" s="264"/>
    </row>
    <row r="320" spans="1:19" s="355" customFormat="1" ht="60">
      <c r="A320" s="193" t="s">
        <v>1094</v>
      </c>
      <c r="B320" s="300" t="s">
        <v>568</v>
      </c>
      <c r="C320" s="193"/>
      <c r="D320" s="193"/>
      <c r="E320" s="193"/>
      <c r="F320" s="193"/>
      <c r="G320" s="193"/>
      <c r="H320" s="193"/>
      <c r="I320" s="33" t="s">
        <v>736</v>
      </c>
      <c r="J320" s="33" t="s">
        <v>197</v>
      </c>
      <c r="K320" s="39" t="s">
        <v>735</v>
      </c>
      <c r="L320" s="254"/>
      <c r="M320" s="254"/>
      <c r="N320" s="82">
        <v>34.736</v>
      </c>
      <c r="O320" s="82">
        <v>34.736</v>
      </c>
      <c r="P320" s="282">
        <v>0</v>
      </c>
      <c r="Q320" s="282">
        <v>0</v>
      </c>
      <c r="R320" s="282">
        <v>0</v>
      </c>
      <c r="S320" s="283">
        <v>0</v>
      </c>
    </row>
    <row r="321" spans="1:19" s="355" customFormat="1" ht="72">
      <c r="A321" s="193" t="s">
        <v>1095</v>
      </c>
      <c r="B321" s="300" t="s">
        <v>581</v>
      </c>
      <c r="C321" s="193"/>
      <c r="D321" s="193"/>
      <c r="E321" s="193"/>
      <c r="F321" s="193"/>
      <c r="G321" s="193"/>
      <c r="H321" s="193"/>
      <c r="I321" s="33" t="s">
        <v>737</v>
      </c>
      <c r="J321" s="33" t="s">
        <v>197</v>
      </c>
      <c r="K321" s="39" t="s">
        <v>735</v>
      </c>
      <c r="L321" s="254"/>
      <c r="M321" s="254"/>
      <c r="N321" s="82">
        <v>4088.12466</v>
      </c>
      <c r="O321" s="82">
        <v>4088.12466</v>
      </c>
      <c r="P321" s="282">
        <v>0</v>
      </c>
      <c r="Q321" s="282">
        <v>0</v>
      </c>
      <c r="R321" s="282">
        <v>0</v>
      </c>
      <c r="S321" s="283">
        <v>0</v>
      </c>
    </row>
    <row r="322" spans="1:19" s="355" customFormat="1" ht="72">
      <c r="A322" s="193" t="s">
        <v>1096</v>
      </c>
      <c r="B322" s="300" t="s">
        <v>603</v>
      </c>
      <c r="C322" s="193"/>
      <c r="D322" s="193"/>
      <c r="E322" s="193"/>
      <c r="F322" s="193"/>
      <c r="G322" s="193"/>
      <c r="H322" s="193"/>
      <c r="I322" s="33" t="s">
        <v>967</v>
      </c>
      <c r="J322" s="33" t="s">
        <v>197</v>
      </c>
      <c r="K322" s="39" t="s">
        <v>857</v>
      </c>
      <c r="L322" s="254"/>
      <c r="M322" s="254"/>
      <c r="N322" s="82">
        <v>8000</v>
      </c>
      <c r="O322" s="82">
        <v>8000</v>
      </c>
      <c r="P322" s="282">
        <v>0</v>
      </c>
      <c r="Q322" s="282">
        <v>0</v>
      </c>
      <c r="R322" s="282">
        <v>0</v>
      </c>
      <c r="S322" s="283">
        <v>0</v>
      </c>
    </row>
    <row r="323" spans="1:19" s="355" customFormat="1" ht="60" customHeight="1">
      <c r="A323" s="193" t="s">
        <v>1102</v>
      </c>
      <c r="B323" s="300" t="s">
        <v>567</v>
      </c>
      <c r="C323" s="193"/>
      <c r="D323" s="193"/>
      <c r="E323" s="193"/>
      <c r="F323" s="193"/>
      <c r="G323" s="193"/>
      <c r="H323" s="193"/>
      <c r="I323" s="33" t="s">
        <v>966</v>
      </c>
      <c r="J323" s="33" t="s">
        <v>197</v>
      </c>
      <c r="K323" s="39" t="s">
        <v>837</v>
      </c>
      <c r="L323" s="254"/>
      <c r="M323" s="254"/>
      <c r="N323" s="82">
        <v>68</v>
      </c>
      <c r="O323" s="82">
        <v>67.9985</v>
      </c>
      <c r="P323" s="282">
        <v>0</v>
      </c>
      <c r="Q323" s="282">
        <v>0</v>
      </c>
      <c r="R323" s="282">
        <v>0</v>
      </c>
      <c r="S323" s="283">
        <v>0</v>
      </c>
    </row>
    <row r="324" spans="1:19" s="355" customFormat="1" ht="60">
      <c r="A324" s="193" t="s">
        <v>1146</v>
      </c>
      <c r="B324" s="300" t="s">
        <v>566</v>
      </c>
      <c r="C324" s="193"/>
      <c r="D324" s="193"/>
      <c r="E324" s="193"/>
      <c r="F324" s="193"/>
      <c r="G324" s="193"/>
      <c r="H324" s="193"/>
      <c r="I324" s="33" t="s">
        <v>839</v>
      </c>
      <c r="J324" s="33" t="s">
        <v>197</v>
      </c>
      <c r="K324" s="39" t="s">
        <v>837</v>
      </c>
      <c r="L324" s="254"/>
      <c r="M324" s="254"/>
      <c r="N324" s="82">
        <v>250</v>
      </c>
      <c r="O324" s="82">
        <v>250</v>
      </c>
      <c r="P324" s="282">
        <v>0</v>
      </c>
      <c r="Q324" s="282">
        <v>0</v>
      </c>
      <c r="R324" s="282">
        <v>0</v>
      </c>
      <c r="S324" s="283">
        <v>0</v>
      </c>
    </row>
    <row r="325" spans="1:19" s="355" customFormat="1" ht="51" customHeight="1">
      <c r="A325" s="193" t="s">
        <v>1147</v>
      </c>
      <c r="B325" s="300" t="s">
        <v>602</v>
      </c>
      <c r="C325" s="193"/>
      <c r="D325" s="193"/>
      <c r="E325" s="193"/>
      <c r="F325" s="193"/>
      <c r="G325" s="193"/>
      <c r="H325" s="193"/>
      <c r="I325" s="33" t="s">
        <v>840</v>
      </c>
      <c r="J325" s="33" t="s">
        <v>197</v>
      </c>
      <c r="K325" s="39" t="s">
        <v>837</v>
      </c>
      <c r="L325" s="254"/>
      <c r="M325" s="254"/>
      <c r="N325" s="82">
        <v>50</v>
      </c>
      <c r="O325" s="82">
        <v>50</v>
      </c>
      <c r="P325" s="282">
        <v>0</v>
      </c>
      <c r="Q325" s="282">
        <v>0</v>
      </c>
      <c r="R325" s="282">
        <v>0</v>
      </c>
      <c r="S325" s="283">
        <v>0</v>
      </c>
    </row>
    <row r="326" spans="1:19" s="355" customFormat="1" ht="72">
      <c r="A326" s="193" t="s">
        <v>1148</v>
      </c>
      <c r="B326" s="300" t="s">
        <v>591</v>
      </c>
      <c r="C326" s="193"/>
      <c r="D326" s="193"/>
      <c r="E326" s="193"/>
      <c r="F326" s="193"/>
      <c r="G326" s="193"/>
      <c r="H326" s="193"/>
      <c r="I326" s="33" t="s">
        <v>1060</v>
      </c>
      <c r="J326" s="33" t="s">
        <v>197</v>
      </c>
      <c r="K326" s="39" t="s">
        <v>1061</v>
      </c>
      <c r="L326" s="254" t="s">
        <v>58</v>
      </c>
      <c r="M326" s="254" t="s">
        <v>65</v>
      </c>
      <c r="N326" s="82">
        <v>500</v>
      </c>
      <c r="O326" s="82">
        <v>499.99919</v>
      </c>
      <c r="P326" s="282">
        <v>0</v>
      </c>
      <c r="Q326" s="282">
        <v>0</v>
      </c>
      <c r="R326" s="282">
        <v>0</v>
      </c>
      <c r="S326" s="283">
        <v>0</v>
      </c>
    </row>
    <row r="327" spans="1:19" s="355" customFormat="1" ht="72">
      <c r="A327" s="193" t="s">
        <v>1149</v>
      </c>
      <c r="B327" s="300" t="s">
        <v>606</v>
      </c>
      <c r="C327" s="193"/>
      <c r="D327" s="193"/>
      <c r="E327" s="193"/>
      <c r="F327" s="193"/>
      <c r="G327" s="193"/>
      <c r="H327" s="193"/>
      <c r="I327" s="33" t="s">
        <v>1036</v>
      </c>
      <c r="J327" s="33" t="s">
        <v>197</v>
      </c>
      <c r="K327" s="39" t="s">
        <v>951</v>
      </c>
      <c r="L327" s="254" t="s">
        <v>63</v>
      </c>
      <c r="M327" s="254" t="s">
        <v>64</v>
      </c>
      <c r="N327" s="82">
        <v>1906</v>
      </c>
      <c r="O327" s="82">
        <v>1906</v>
      </c>
      <c r="P327" s="282">
        <v>0</v>
      </c>
      <c r="Q327" s="282">
        <v>0</v>
      </c>
      <c r="R327" s="282">
        <v>0</v>
      </c>
      <c r="S327" s="283">
        <v>0</v>
      </c>
    </row>
    <row r="328" spans="1:19" s="355" customFormat="1" ht="60">
      <c r="A328" s="193" t="s">
        <v>1150</v>
      </c>
      <c r="B328" s="300" t="s">
        <v>607</v>
      </c>
      <c r="C328" s="193"/>
      <c r="D328" s="193"/>
      <c r="E328" s="193"/>
      <c r="F328" s="193"/>
      <c r="G328" s="193"/>
      <c r="H328" s="193"/>
      <c r="I328" s="33" t="s">
        <v>952</v>
      </c>
      <c r="J328" s="33" t="s">
        <v>197</v>
      </c>
      <c r="K328" s="39" t="s">
        <v>951</v>
      </c>
      <c r="L328" s="254" t="s">
        <v>63</v>
      </c>
      <c r="M328" s="254" t="s">
        <v>64</v>
      </c>
      <c r="N328" s="82">
        <v>700</v>
      </c>
      <c r="O328" s="82">
        <v>664.125</v>
      </c>
      <c r="P328" s="282">
        <v>0</v>
      </c>
      <c r="Q328" s="282">
        <v>0</v>
      </c>
      <c r="R328" s="282">
        <v>0</v>
      </c>
      <c r="S328" s="283">
        <v>0</v>
      </c>
    </row>
    <row r="329" spans="1:19" s="355" customFormat="1" ht="87" customHeight="1">
      <c r="A329" s="193" t="s">
        <v>1151</v>
      </c>
      <c r="B329" s="300" t="s">
        <v>571</v>
      </c>
      <c r="C329" s="193"/>
      <c r="D329" s="193"/>
      <c r="E329" s="193"/>
      <c r="F329" s="193"/>
      <c r="G329" s="193"/>
      <c r="H329" s="193"/>
      <c r="I329" s="33" t="s">
        <v>1144</v>
      </c>
      <c r="J329" s="33" t="s">
        <v>197</v>
      </c>
      <c r="K329" s="39" t="s">
        <v>1145</v>
      </c>
      <c r="L329" s="254" t="s">
        <v>63</v>
      </c>
      <c r="M329" s="254" t="s">
        <v>64</v>
      </c>
      <c r="N329" s="82">
        <v>782</v>
      </c>
      <c r="O329" s="82">
        <v>754.21</v>
      </c>
      <c r="P329" s="282">
        <v>0</v>
      </c>
      <c r="Q329" s="282">
        <v>0</v>
      </c>
      <c r="R329" s="282">
        <v>0</v>
      </c>
      <c r="S329" s="283">
        <v>0</v>
      </c>
    </row>
    <row r="330" spans="1:19" s="355" customFormat="1" ht="60.75" customHeight="1">
      <c r="A330" s="193" t="s">
        <v>1152</v>
      </c>
      <c r="B330" s="300" t="s">
        <v>589</v>
      </c>
      <c r="C330" s="193"/>
      <c r="D330" s="193"/>
      <c r="E330" s="193"/>
      <c r="F330" s="193"/>
      <c r="G330" s="193"/>
      <c r="H330" s="193"/>
      <c r="I330" s="33" t="s">
        <v>985</v>
      </c>
      <c r="J330" s="33" t="s">
        <v>197</v>
      </c>
      <c r="K330" s="39" t="s">
        <v>986</v>
      </c>
      <c r="L330" s="254" t="s">
        <v>63</v>
      </c>
      <c r="M330" s="254" t="s">
        <v>64</v>
      </c>
      <c r="N330" s="82">
        <v>50</v>
      </c>
      <c r="O330" s="82">
        <v>50</v>
      </c>
      <c r="P330" s="282">
        <v>0</v>
      </c>
      <c r="Q330" s="282">
        <v>0</v>
      </c>
      <c r="R330" s="282">
        <v>0</v>
      </c>
      <c r="S330" s="283">
        <v>0</v>
      </c>
    </row>
    <row r="331" spans="1:19" s="355" customFormat="1" ht="48" customHeight="1">
      <c r="A331" s="193" t="s">
        <v>1153</v>
      </c>
      <c r="B331" s="300" t="s">
        <v>592</v>
      </c>
      <c r="C331" s="193"/>
      <c r="D331" s="193"/>
      <c r="E331" s="193"/>
      <c r="F331" s="193"/>
      <c r="G331" s="193"/>
      <c r="H331" s="193"/>
      <c r="I331" s="33" t="s">
        <v>987</v>
      </c>
      <c r="J331" s="33" t="s">
        <v>197</v>
      </c>
      <c r="K331" s="39" t="s">
        <v>975</v>
      </c>
      <c r="L331" s="254" t="s">
        <v>63</v>
      </c>
      <c r="M331" s="254" t="s">
        <v>64</v>
      </c>
      <c r="N331" s="82">
        <v>150</v>
      </c>
      <c r="O331" s="82">
        <v>150</v>
      </c>
      <c r="P331" s="282">
        <v>0</v>
      </c>
      <c r="Q331" s="282">
        <v>0</v>
      </c>
      <c r="R331" s="282">
        <v>0</v>
      </c>
      <c r="S331" s="283">
        <v>0</v>
      </c>
    </row>
    <row r="332" spans="1:19" s="355" customFormat="1" ht="48" customHeight="1">
      <c r="A332" s="193" t="s">
        <v>1154</v>
      </c>
      <c r="B332" s="300" t="s">
        <v>593</v>
      </c>
      <c r="C332" s="193"/>
      <c r="D332" s="193"/>
      <c r="E332" s="193"/>
      <c r="F332" s="193"/>
      <c r="G332" s="193"/>
      <c r="H332" s="193"/>
      <c r="I332" s="33" t="s">
        <v>988</v>
      </c>
      <c r="J332" s="33" t="s">
        <v>197</v>
      </c>
      <c r="K332" s="39" t="s">
        <v>975</v>
      </c>
      <c r="L332" s="254" t="s">
        <v>63</v>
      </c>
      <c r="M332" s="254" t="s">
        <v>64</v>
      </c>
      <c r="N332" s="82">
        <v>96</v>
      </c>
      <c r="O332" s="82">
        <v>96</v>
      </c>
      <c r="P332" s="282">
        <v>0</v>
      </c>
      <c r="Q332" s="282">
        <v>0</v>
      </c>
      <c r="R332" s="282">
        <v>0</v>
      </c>
      <c r="S332" s="283">
        <v>0</v>
      </c>
    </row>
    <row r="333" spans="1:19" s="355" customFormat="1" ht="48" customHeight="1">
      <c r="A333" s="193" t="s">
        <v>1155</v>
      </c>
      <c r="B333" s="300" t="s">
        <v>989</v>
      </c>
      <c r="C333" s="193"/>
      <c r="D333" s="193"/>
      <c r="E333" s="193"/>
      <c r="F333" s="193"/>
      <c r="G333" s="193"/>
      <c r="H333" s="193"/>
      <c r="I333" s="33" t="s">
        <v>990</v>
      </c>
      <c r="J333" s="33" t="s">
        <v>197</v>
      </c>
      <c r="K333" s="39" t="s">
        <v>975</v>
      </c>
      <c r="L333" s="254" t="s">
        <v>63</v>
      </c>
      <c r="M333" s="254" t="s">
        <v>64</v>
      </c>
      <c r="N333" s="82">
        <v>99</v>
      </c>
      <c r="O333" s="82">
        <v>99</v>
      </c>
      <c r="P333" s="282">
        <v>0</v>
      </c>
      <c r="Q333" s="282">
        <v>0</v>
      </c>
      <c r="R333" s="282">
        <v>0</v>
      </c>
      <c r="S333" s="283">
        <v>0</v>
      </c>
    </row>
    <row r="334" spans="1:19" s="355" customFormat="1" ht="48" customHeight="1">
      <c r="A334" s="193" t="s">
        <v>1156</v>
      </c>
      <c r="B334" s="300" t="s">
        <v>608</v>
      </c>
      <c r="C334" s="193"/>
      <c r="D334" s="193"/>
      <c r="E334" s="193"/>
      <c r="F334" s="193"/>
      <c r="G334" s="193"/>
      <c r="H334" s="193"/>
      <c r="I334" s="33" t="s">
        <v>991</v>
      </c>
      <c r="J334" s="33" t="s">
        <v>197</v>
      </c>
      <c r="K334" s="39" t="s">
        <v>975</v>
      </c>
      <c r="L334" s="254" t="s">
        <v>63</v>
      </c>
      <c r="M334" s="254" t="s">
        <v>64</v>
      </c>
      <c r="N334" s="82">
        <v>72</v>
      </c>
      <c r="O334" s="82">
        <v>71.772</v>
      </c>
      <c r="P334" s="282">
        <v>0</v>
      </c>
      <c r="Q334" s="282">
        <v>0</v>
      </c>
      <c r="R334" s="282">
        <v>0</v>
      </c>
      <c r="S334" s="283">
        <v>0</v>
      </c>
    </row>
    <row r="335" spans="1:19" s="355" customFormat="1" ht="60.75" customHeight="1">
      <c r="A335" s="193" t="s">
        <v>1157</v>
      </c>
      <c r="B335" s="300" t="s">
        <v>587</v>
      </c>
      <c r="C335" s="193"/>
      <c r="D335" s="193"/>
      <c r="E335" s="193"/>
      <c r="F335" s="193"/>
      <c r="G335" s="193"/>
      <c r="H335" s="193"/>
      <c r="I335" s="33" t="s">
        <v>1025</v>
      </c>
      <c r="J335" s="33" t="s">
        <v>197</v>
      </c>
      <c r="K335" s="39" t="s">
        <v>1026</v>
      </c>
      <c r="L335" s="254" t="s">
        <v>63</v>
      </c>
      <c r="M335" s="254" t="s">
        <v>64</v>
      </c>
      <c r="N335" s="82">
        <v>440</v>
      </c>
      <c r="O335" s="82">
        <v>440</v>
      </c>
      <c r="P335" s="282">
        <v>0</v>
      </c>
      <c r="Q335" s="282">
        <v>0</v>
      </c>
      <c r="R335" s="282">
        <v>0</v>
      </c>
      <c r="S335" s="283">
        <v>0</v>
      </c>
    </row>
    <row r="336" spans="1:19" s="355" customFormat="1" ht="48.75" customHeight="1">
      <c r="A336" s="193" t="s">
        <v>1158</v>
      </c>
      <c r="B336" s="300" t="s">
        <v>577</v>
      </c>
      <c r="C336" s="193"/>
      <c r="D336" s="193"/>
      <c r="E336" s="193"/>
      <c r="F336" s="193"/>
      <c r="G336" s="193"/>
      <c r="H336" s="193"/>
      <c r="I336" s="33" t="s">
        <v>1048</v>
      </c>
      <c r="J336" s="33" t="s">
        <v>197</v>
      </c>
      <c r="K336" s="39" t="s">
        <v>1049</v>
      </c>
      <c r="L336" s="254" t="s">
        <v>63</v>
      </c>
      <c r="M336" s="254" t="s">
        <v>64</v>
      </c>
      <c r="N336" s="82">
        <v>98.4</v>
      </c>
      <c r="O336" s="82">
        <v>98.4</v>
      </c>
      <c r="P336" s="282">
        <v>0</v>
      </c>
      <c r="Q336" s="282">
        <v>0</v>
      </c>
      <c r="R336" s="282">
        <v>0</v>
      </c>
      <c r="S336" s="283">
        <v>0</v>
      </c>
    </row>
    <row r="337" spans="1:19" s="355" customFormat="1" ht="48.75" customHeight="1">
      <c r="A337" s="193" t="s">
        <v>1159</v>
      </c>
      <c r="B337" s="300" t="s">
        <v>1160</v>
      </c>
      <c r="C337" s="193"/>
      <c r="D337" s="193"/>
      <c r="E337" s="193"/>
      <c r="F337" s="193"/>
      <c r="G337" s="193"/>
      <c r="H337" s="193"/>
      <c r="I337" s="33" t="s">
        <v>1161</v>
      </c>
      <c r="J337" s="33" t="s">
        <v>197</v>
      </c>
      <c r="K337" s="39" t="s">
        <v>1162</v>
      </c>
      <c r="L337" s="254" t="s">
        <v>63</v>
      </c>
      <c r="M337" s="254" t="s">
        <v>64</v>
      </c>
      <c r="N337" s="82">
        <v>0</v>
      </c>
      <c r="O337" s="82">
        <v>0</v>
      </c>
      <c r="P337" s="282">
        <v>500</v>
      </c>
      <c r="Q337" s="282">
        <v>0</v>
      </c>
      <c r="R337" s="282">
        <v>0</v>
      </c>
      <c r="S337" s="283"/>
    </row>
    <row r="338" spans="1:19" s="355" customFormat="1" ht="60">
      <c r="A338" s="193" t="s">
        <v>1163</v>
      </c>
      <c r="B338" s="300" t="s">
        <v>1164</v>
      </c>
      <c r="C338" s="193"/>
      <c r="D338" s="193"/>
      <c r="E338" s="193"/>
      <c r="F338" s="193"/>
      <c r="G338" s="193"/>
      <c r="H338" s="193"/>
      <c r="I338" s="33" t="s">
        <v>1165</v>
      </c>
      <c r="J338" s="33" t="s">
        <v>197</v>
      </c>
      <c r="K338" s="39" t="s">
        <v>1166</v>
      </c>
      <c r="L338" s="254" t="s">
        <v>63</v>
      </c>
      <c r="M338" s="254" t="s">
        <v>64</v>
      </c>
      <c r="N338" s="82">
        <v>0</v>
      </c>
      <c r="O338" s="82">
        <v>0</v>
      </c>
      <c r="P338" s="282">
        <v>2700</v>
      </c>
      <c r="Q338" s="282">
        <v>0</v>
      </c>
      <c r="R338" s="282">
        <v>0</v>
      </c>
      <c r="S338" s="283"/>
    </row>
    <row r="339" spans="1:19" s="355" customFormat="1" ht="61.5" customHeight="1">
      <c r="A339" s="193" t="s">
        <v>1167</v>
      </c>
      <c r="B339" s="300" t="s">
        <v>1168</v>
      </c>
      <c r="C339" s="193"/>
      <c r="D339" s="193"/>
      <c r="E339" s="193"/>
      <c r="F339" s="193"/>
      <c r="G339" s="193"/>
      <c r="H339" s="193"/>
      <c r="I339" s="33" t="s">
        <v>1169</v>
      </c>
      <c r="J339" s="33" t="s">
        <v>197</v>
      </c>
      <c r="K339" s="39" t="s">
        <v>1170</v>
      </c>
      <c r="L339" s="254" t="s">
        <v>63</v>
      </c>
      <c r="M339" s="254" t="s">
        <v>64</v>
      </c>
      <c r="N339" s="82">
        <v>0</v>
      </c>
      <c r="O339" s="82">
        <v>0</v>
      </c>
      <c r="P339" s="282">
        <v>2700</v>
      </c>
      <c r="Q339" s="333">
        <v>0</v>
      </c>
      <c r="R339" s="333">
        <v>0</v>
      </c>
      <c r="S339" s="283"/>
    </row>
    <row r="340" spans="1:19" s="355" customFormat="1" ht="48">
      <c r="A340" s="193" t="s">
        <v>1187</v>
      </c>
      <c r="B340" s="300"/>
      <c r="C340" s="193"/>
      <c r="D340" s="193"/>
      <c r="E340" s="193"/>
      <c r="F340" s="193"/>
      <c r="G340" s="193"/>
      <c r="H340" s="298"/>
      <c r="I340" s="92" t="s">
        <v>1257</v>
      </c>
      <c r="J340" s="92" t="s">
        <v>197</v>
      </c>
      <c r="K340" s="92" t="s">
        <v>1258</v>
      </c>
      <c r="L340" s="253" t="s">
        <v>63</v>
      </c>
      <c r="M340" s="254" t="s">
        <v>64</v>
      </c>
      <c r="N340" s="82">
        <v>0</v>
      </c>
      <c r="O340" s="82">
        <v>0</v>
      </c>
      <c r="P340" s="282">
        <v>25410.1</v>
      </c>
      <c r="Q340" s="310">
        <v>12910.2</v>
      </c>
      <c r="R340" s="310">
        <v>2000</v>
      </c>
      <c r="S340" s="283"/>
    </row>
    <row r="341" spans="1:19" s="355" customFormat="1" ht="48">
      <c r="A341" s="193" t="s">
        <v>1193</v>
      </c>
      <c r="B341" s="300" t="s">
        <v>1194</v>
      </c>
      <c r="C341" s="193"/>
      <c r="D341" s="193"/>
      <c r="E341" s="193"/>
      <c r="F341" s="193"/>
      <c r="G341" s="193"/>
      <c r="H341" s="193"/>
      <c r="I341" s="17" t="s">
        <v>1224</v>
      </c>
      <c r="J341" s="17" t="s">
        <v>197</v>
      </c>
      <c r="K341" s="18" t="s">
        <v>1221</v>
      </c>
      <c r="L341" s="254" t="s">
        <v>63</v>
      </c>
      <c r="M341" s="254" t="s">
        <v>64</v>
      </c>
      <c r="N341" s="82">
        <v>0</v>
      </c>
      <c r="O341" s="82">
        <v>0</v>
      </c>
      <c r="P341" s="282">
        <v>244</v>
      </c>
      <c r="Q341" s="82"/>
      <c r="R341" s="82"/>
      <c r="S341" s="283"/>
    </row>
    <row r="342" spans="1:19" s="355" customFormat="1" ht="48">
      <c r="A342" s="185"/>
      <c r="B342" s="288"/>
      <c r="C342" s="185"/>
      <c r="D342" s="185"/>
      <c r="E342" s="185"/>
      <c r="F342" s="185"/>
      <c r="G342" s="185"/>
      <c r="H342" s="185"/>
      <c r="I342" s="141" t="s">
        <v>1225</v>
      </c>
      <c r="J342" s="141" t="s">
        <v>197</v>
      </c>
      <c r="K342" s="142" t="s">
        <v>1221</v>
      </c>
      <c r="L342" s="245"/>
      <c r="M342" s="245"/>
      <c r="N342" s="210"/>
      <c r="O342" s="210"/>
      <c r="P342" s="382"/>
      <c r="Q342" s="210"/>
      <c r="R342" s="210"/>
      <c r="S342" s="283"/>
    </row>
    <row r="343" spans="1:19" s="356" customFormat="1" ht="24">
      <c r="A343" s="201" t="s">
        <v>707</v>
      </c>
      <c r="B343" s="432"/>
      <c r="C343" s="201"/>
      <c r="D343" s="201"/>
      <c r="E343" s="201"/>
      <c r="F343" s="201"/>
      <c r="G343" s="201"/>
      <c r="H343" s="201"/>
      <c r="I343" s="433"/>
      <c r="J343" s="433"/>
      <c r="K343" s="434"/>
      <c r="L343" s="336"/>
      <c r="M343" s="336"/>
      <c r="N343" s="203"/>
      <c r="O343" s="203"/>
      <c r="P343" s="201"/>
      <c r="Q343" s="201"/>
      <c r="R343" s="201"/>
      <c r="S343" s="297"/>
    </row>
    <row r="344" spans="1:19" s="355" customFormat="1" ht="120">
      <c r="A344" s="193" t="s">
        <v>1097</v>
      </c>
      <c r="B344" s="300" t="s">
        <v>579</v>
      </c>
      <c r="C344" s="193"/>
      <c r="D344" s="193"/>
      <c r="E344" s="193"/>
      <c r="F344" s="50" t="s">
        <v>277</v>
      </c>
      <c r="G344" s="390" t="s">
        <v>580</v>
      </c>
      <c r="H344" s="390" t="s">
        <v>221</v>
      </c>
      <c r="I344" s="390" t="s">
        <v>1130</v>
      </c>
      <c r="J344" s="390" t="s">
        <v>197</v>
      </c>
      <c r="K344" s="390" t="s">
        <v>1131</v>
      </c>
      <c r="L344" s="254" t="s">
        <v>63</v>
      </c>
      <c r="M344" s="254" t="s">
        <v>64</v>
      </c>
      <c r="N344" s="82">
        <v>24981</v>
      </c>
      <c r="O344" s="82">
        <v>19661.96558</v>
      </c>
      <c r="P344" s="282">
        <v>27491.3</v>
      </c>
      <c r="Q344" s="282">
        <v>27491.3</v>
      </c>
      <c r="R344" s="282">
        <v>27491.3</v>
      </c>
      <c r="S344" s="282">
        <v>0</v>
      </c>
    </row>
    <row r="345" spans="1:19" s="355" customFormat="1" ht="96">
      <c r="A345" s="193" t="s">
        <v>1098</v>
      </c>
      <c r="B345" s="300" t="s">
        <v>745</v>
      </c>
      <c r="C345" s="193"/>
      <c r="D345" s="193"/>
      <c r="E345" s="193"/>
      <c r="F345" s="193"/>
      <c r="G345" s="193"/>
      <c r="H345" s="193"/>
      <c r="I345" s="29" t="s">
        <v>836</v>
      </c>
      <c r="J345" s="29" t="s">
        <v>197</v>
      </c>
      <c r="K345" s="29" t="s">
        <v>837</v>
      </c>
      <c r="L345" s="254" t="s">
        <v>63</v>
      </c>
      <c r="M345" s="254" t="s">
        <v>64</v>
      </c>
      <c r="N345" s="82">
        <v>2500</v>
      </c>
      <c r="O345" s="82">
        <v>2500</v>
      </c>
      <c r="P345" s="282">
        <v>0</v>
      </c>
      <c r="Q345" s="282">
        <v>0</v>
      </c>
      <c r="R345" s="282">
        <v>0</v>
      </c>
      <c r="S345" s="282">
        <v>0</v>
      </c>
    </row>
    <row r="346" spans="1:19" s="355" customFormat="1" ht="96">
      <c r="A346" s="193" t="s">
        <v>1099</v>
      </c>
      <c r="B346" s="300" t="s">
        <v>744</v>
      </c>
      <c r="C346" s="193"/>
      <c r="D346" s="193"/>
      <c r="E346" s="193"/>
      <c r="F346" s="193"/>
      <c r="G346" s="193"/>
      <c r="H346" s="193"/>
      <c r="I346" s="29" t="s">
        <v>835</v>
      </c>
      <c r="J346" s="29" t="s">
        <v>197</v>
      </c>
      <c r="K346" s="29" t="s">
        <v>837</v>
      </c>
      <c r="L346" s="254" t="s">
        <v>63</v>
      </c>
      <c r="M346" s="254" t="s">
        <v>64</v>
      </c>
      <c r="N346" s="364">
        <v>36617.4647</v>
      </c>
      <c r="O346" s="364">
        <v>36617.4647</v>
      </c>
      <c r="P346" s="282">
        <v>0</v>
      </c>
      <c r="Q346" s="282">
        <v>0</v>
      </c>
      <c r="R346" s="282">
        <v>0</v>
      </c>
      <c r="S346" s="282">
        <v>0</v>
      </c>
    </row>
    <row r="347" spans="1:19" s="355" customFormat="1" ht="83.25" customHeight="1">
      <c r="A347" s="193" t="s">
        <v>1100</v>
      </c>
      <c r="B347" s="300" t="s">
        <v>661</v>
      </c>
      <c r="C347" s="328"/>
      <c r="D347" s="328"/>
      <c r="E347" s="328"/>
      <c r="F347" s="328"/>
      <c r="G347" s="328"/>
      <c r="H347" s="391"/>
      <c r="I347" s="37" t="s">
        <v>1065</v>
      </c>
      <c r="J347" s="37" t="s">
        <v>197</v>
      </c>
      <c r="K347" s="49" t="s">
        <v>1066</v>
      </c>
      <c r="L347" s="254" t="s">
        <v>63</v>
      </c>
      <c r="M347" s="254" t="s">
        <v>64</v>
      </c>
      <c r="N347" s="82">
        <f>12910.21762+1001.65772</f>
        <v>13911.875339999999</v>
      </c>
      <c r="O347" s="82">
        <v>12910.21762</v>
      </c>
      <c r="P347" s="282">
        <v>0</v>
      </c>
      <c r="Q347" s="282">
        <v>0</v>
      </c>
      <c r="R347" s="282">
        <v>0</v>
      </c>
      <c r="S347" s="282">
        <v>0</v>
      </c>
    </row>
    <row r="348" spans="1:19" s="355" customFormat="1" ht="74.25" customHeight="1">
      <c r="A348" s="298" t="s">
        <v>1101</v>
      </c>
      <c r="B348" s="315" t="s">
        <v>923</v>
      </c>
      <c r="C348" s="314"/>
      <c r="D348" s="314"/>
      <c r="E348" s="314"/>
      <c r="F348" s="314"/>
      <c r="G348" s="314"/>
      <c r="H348" s="314"/>
      <c r="I348" s="33" t="s">
        <v>924</v>
      </c>
      <c r="J348" s="33" t="s">
        <v>197</v>
      </c>
      <c r="K348" s="39" t="s">
        <v>925</v>
      </c>
      <c r="L348" s="254" t="s">
        <v>63</v>
      </c>
      <c r="M348" s="254" t="s">
        <v>64</v>
      </c>
      <c r="N348" s="82">
        <v>2461.3</v>
      </c>
      <c r="O348" s="82">
        <v>2461.3</v>
      </c>
      <c r="P348" s="282">
        <v>0</v>
      </c>
      <c r="Q348" s="282">
        <v>0</v>
      </c>
      <c r="R348" s="282">
        <v>0</v>
      </c>
      <c r="S348" s="282">
        <v>0</v>
      </c>
    </row>
    <row r="349" spans="1:19" s="355" customFormat="1" ht="48">
      <c r="A349" s="305" t="s">
        <v>1204</v>
      </c>
      <c r="B349" s="307"/>
      <c r="C349" s="305"/>
      <c r="D349" s="305"/>
      <c r="E349" s="305"/>
      <c r="F349" s="305"/>
      <c r="G349" s="305"/>
      <c r="H349" s="305"/>
      <c r="I349" s="37" t="s">
        <v>237</v>
      </c>
      <c r="J349" s="37" t="s">
        <v>197</v>
      </c>
      <c r="K349" s="49" t="s">
        <v>205</v>
      </c>
      <c r="L349" s="254" t="s">
        <v>63</v>
      </c>
      <c r="M349" s="254" t="s">
        <v>64</v>
      </c>
      <c r="N349" s="323"/>
      <c r="O349" s="323"/>
      <c r="P349" s="334">
        <v>7276.465</v>
      </c>
      <c r="Q349" s="334"/>
      <c r="R349" s="334"/>
      <c r="S349" s="284"/>
    </row>
    <row r="350" spans="1:19" s="356" customFormat="1" ht="181.5" customHeight="1">
      <c r="A350" s="201" t="s">
        <v>25</v>
      </c>
      <c r="B350" s="201" t="s">
        <v>148</v>
      </c>
      <c r="C350" s="201" t="s">
        <v>57</v>
      </c>
      <c r="D350" s="201" t="s">
        <v>57</v>
      </c>
      <c r="E350" s="201" t="s">
        <v>57</v>
      </c>
      <c r="F350" s="201" t="s">
        <v>57</v>
      </c>
      <c r="G350" s="201" t="s">
        <v>57</v>
      </c>
      <c r="H350" s="201" t="s">
        <v>57</v>
      </c>
      <c r="I350" s="201" t="s">
        <v>57</v>
      </c>
      <c r="J350" s="201" t="s">
        <v>57</v>
      </c>
      <c r="K350" s="201" t="s">
        <v>57</v>
      </c>
      <c r="L350" s="169" t="s">
        <v>65</v>
      </c>
      <c r="M350" s="169" t="s">
        <v>66</v>
      </c>
      <c r="N350" s="203">
        <f aca="true" t="shared" si="56" ref="N350:S350">SUM(N351:N355)</f>
        <v>64125.65234</v>
      </c>
      <c r="O350" s="203">
        <f t="shared" si="56"/>
        <v>64125.65234</v>
      </c>
      <c r="P350" s="203">
        <f>SUM(P351:P356)</f>
        <v>60954.46699</v>
      </c>
      <c r="Q350" s="203">
        <f>SUM(Q351:Q356)</f>
        <v>12900</v>
      </c>
      <c r="R350" s="203">
        <f>SUM(R351:R356)</f>
        <v>12900</v>
      </c>
      <c r="S350" s="165">
        <f t="shared" si="56"/>
        <v>12900</v>
      </c>
    </row>
    <row r="351" spans="1:19" s="355" customFormat="1" ht="84">
      <c r="A351" s="193" t="s">
        <v>583</v>
      </c>
      <c r="B351" s="300" t="s">
        <v>584</v>
      </c>
      <c r="C351" s="193"/>
      <c r="D351" s="193"/>
      <c r="E351" s="193"/>
      <c r="F351" s="193"/>
      <c r="G351" s="193"/>
      <c r="H351" s="298"/>
      <c r="I351" s="308" t="s">
        <v>969</v>
      </c>
      <c r="J351" s="305" t="s">
        <v>197</v>
      </c>
      <c r="K351" s="305" t="s">
        <v>735</v>
      </c>
      <c r="L351" s="186"/>
      <c r="M351" s="187"/>
      <c r="N351" s="82">
        <v>1799.95</v>
      </c>
      <c r="O351" s="82">
        <v>1799.95</v>
      </c>
      <c r="P351" s="82">
        <v>0</v>
      </c>
      <c r="Q351" s="82">
        <v>0</v>
      </c>
      <c r="R351" s="82">
        <v>0</v>
      </c>
      <c r="S351" s="83">
        <v>0</v>
      </c>
    </row>
    <row r="352" spans="1:19" s="355" customFormat="1" ht="96">
      <c r="A352" s="193" t="s">
        <v>1103</v>
      </c>
      <c r="B352" s="300" t="s">
        <v>582</v>
      </c>
      <c r="C352" s="193"/>
      <c r="D352" s="193"/>
      <c r="E352" s="193"/>
      <c r="F352" s="193"/>
      <c r="G352" s="193"/>
      <c r="H352" s="193"/>
      <c r="I352" s="148" t="s">
        <v>1226</v>
      </c>
      <c r="J352" s="149" t="s">
        <v>197</v>
      </c>
      <c r="K352" s="149" t="s">
        <v>1126</v>
      </c>
      <c r="L352" s="187"/>
      <c r="M352" s="187"/>
      <c r="N352" s="82">
        <v>16390</v>
      </c>
      <c r="O352" s="82">
        <v>16390</v>
      </c>
      <c r="P352" s="82">
        <v>12500</v>
      </c>
      <c r="Q352" s="82">
        <v>12900</v>
      </c>
      <c r="R352" s="82">
        <v>12900</v>
      </c>
      <c r="S352" s="82">
        <v>12900</v>
      </c>
    </row>
    <row r="353" spans="1:19" s="355" customFormat="1" ht="84">
      <c r="A353" s="185"/>
      <c r="B353" s="288"/>
      <c r="C353" s="185"/>
      <c r="D353" s="185"/>
      <c r="E353" s="185"/>
      <c r="F353" s="185"/>
      <c r="G353" s="185"/>
      <c r="H353" s="185"/>
      <c r="I353" s="150" t="s">
        <v>216</v>
      </c>
      <c r="J353" s="151" t="s">
        <v>197</v>
      </c>
      <c r="K353" s="151" t="s">
        <v>217</v>
      </c>
      <c r="L353" s="161"/>
      <c r="M353" s="161"/>
      <c r="N353" s="210"/>
      <c r="O353" s="210"/>
      <c r="P353" s="210"/>
      <c r="Q353" s="210"/>
      <c r="R353" s="210"/>
      <c r="S353" s="210"/>
    </row>
    <row r="354" spans="1:19" s="355" customFormat="1" ht="96">
      <c r="A354" s="193" t="s">
        <v>1104</v>
      </c>
      <c r="B354" s="300" t="s">
        <v>564</v>
      </c>
      <c r="C354" s="193"/>
      <c r="D354" s="193"/>
      <c r="E354" s="193"/>
      <c r="F354" s="193"/>
      <c r="G354" s="193"/>
      <c r="H354" s="298"/>
      <c r="I354" s="29" t="s">
        <v>968</v>
      </c>
      <c r="J354" s="29" t="s">
        <v>197</v>
      </c>
      <c r="K354" s="29" t="s">
        <v>735</v>
      </c>
      <c r="L354" s="186"/>
      <c r="M354" s="187"/>
      <c r="N354" s="82">
        <v>1775.40234</v>
      </c>
      <c r="O354" s="82">
        <v>1775.40234</v>
      </c>
      <c r="P354" s="82">
        <v>0</v>
      </c>
      <c r="Q354" s="82">
        <v>0</v>
      </c>
      <c r="R354" s="82">
        <v>0</v>
      </c>
      <c r="S354" s="83">
        <v>0</v>
      </c>
    </row>
    <row r="355" spans="1:19" s="355" customFormat="1" ht="120">
      <c r="A355" s="413" t="s">
        <v>1105</v>
      </c>
      <c r="B355" s="237" t="s">
        <v>252</v>
      </c>
      <c r="C355" s="236"/>
      <c r="D355" s="236"/>
      <c r="E355" s="236"/>
      <c r="F355" s="236" t="s">
        <v>218</v>
      </c>
      <c r="G355" s="236" t="s">
        <v>220</v>
      </c>
      <c r="H355" s="236" t="s">
        <v>221</v>
      </c>
      <c r="I355" s="38" t="s">
        <v>1216</v>
      </c>
      <c r="J355" s="38" t="s">
        <v>197</v>
      </c>
      <c r="K355" s="38" t="s">
        <v>1217</v>
      </c>
      <c r="L355" s="186"/>
      <c r="M355" s="187"/>
      <c r="N355" s="82">
        <v>44160.3</v>
      </c>
      <c r="O355" s="82">
        <v>44160.3</v>
      </c>
      <c r="P355" s="82">
        <v>44160.3</v>
      </c>
      <c r="Q355" s="82">
        <v>0</v>
      </c>
      <c r="R355" s="82">
        <v>0</v>
      </c>
      <c r="S355" s="310">
        <v>0</v>
      </c>
    </row>
    <row r="356" spans="1:19" s="355" customFormat="1" ht="72">
      <c r="A356" s="435" t="s">
        <v>1195</v>
      </c>
      <c r="B356" s="343" t="s">
        <v>1196</v>
      </c>
      <c r="C356" s="158"/>
      <c r="D356" s="158"/>
      <c r="E356" s="158"/>
      <c r="F356" s="158"/>
      <c r="G356" s="158"/>
      <c r="H356" s="158"/>
      <c r="I356" s="106" t="s">
        <v>1227</v>
      </c>
      <c r="J356" s="106" t="s">
        <v>197</v>
      </c>
      <c r="K356" s="106" t="s">
        <v>1228</v>
      </c>
      <c r="L356" s="158"/>
      <c r="M356" s="158"/>
      <c r="N356" s="310"/>
      <c r="O356" s="310"/>
      <c r="P356" s="310">
        <v>4294.16699</v>
      </c>
      <c r="Q356" s="310"/>
      <c r="R356" s="310"/>
      <c r="S356" s="82"/>
    </row>
    <row r="357" spans="1:19" s="356" customFormat="1" ht="120" customHeight="1">
      <c r="A357" s="201" t="s">
        <v>26</v>
      </c>
      <c r="B357" s="201" t="s">
        <v>149</v>
      </c>
      <c r="C357" s="201"/>
      <c r="D357" s="201"/>
      <c r="E357" s="201"/>
      <c r="F357" s="201"/>
      <c r="G357" s="201"/>
      <c r="H357" s="188"/>
      <c r="I357" s="137"/>
      <c r="J357" s="137"/>
      <c r="K357" s="137"/>
      <c r="L357" s="214"/>
      <c r="M357" s="202"/>
      <c r="N357" s="203">
        <f>SUM(N358)</f>
        <v>58</v>
      </c>
      <c r="O357" s="203">
        <f>SUM(O358)</f>
        <v>58</v>
      </c>
      <c r="P357" s="203">
        <f>SUM(P358:P359)</f>
        <v>94.8</v>
      </c>
      <c r="Q357" s="203">
        <f>SUM(Q358:Q359)</f>
        <v>94.8</v>
      </c>
      <c r="R357" s="203">
        <f>SUM(R358:R359)</f>
        <v>94.8</v>
      </c>
      <c r="S357" s="165" t="e">
        <f>SUM(#REF!)</f>
        <v>#REF!</v>
      </c>
    </row>
    <row r="358" spans="1:19" s="355" customFormat="1" ht="63.75" customHeight="1">
      <c r="A358" s="305" t="s">
        <v>1106</v>
      </c>
      <c r="B358" s="307" t="s">
        <v>947</v>
      </c>
      <c r="C358" s="305"/>
      <c r="D358" s="305"/>
      <c r="E358" s="305"/>
      <c r="F358" s="305"/>
      <c r="G358" s="305"/>
      <c r="H358" s="305"/>
      <c r="I358" s="339" t="s">
        <v>958</v>
      </c>
      <c r="J358" s="340" t="s">
        <v>197</v>
      </c>
      <c r="K358" s="340" t="s">
        <v>959</v>
      </c>
      <c r="L358" s="186" t="s">
        <v>63</v>
      </c>
      <c r="M358" s="187" t="s">
        <v>58</v>
      </c>
      <c r="N358" s="323">
        <v>58</v>
      </c>
      <c r="O358" s="323">
        <v>58</v>
      </c>
      <c r="P358" s="323">
        <v>0</v>
      </c>
      <c r="Q358" s="323">
        <v>0</v>
      </c>
      <c r="R358" s="323">
        <v>0</v>
      </c>
      <c r="S358" s="238">
        <v>0</v>
      </c>
    </row>
    <row r="359" spans="1:21" s="411" customFormat="1" ht="48">
      <c r="A359" s="314" t="s">
        <v>1133</v>
      </c>
      <c r="B359" s="315" t="s">
        <v>1132</v>
      </c>
      <c r="C359" s="314"/>
      <c r="D359" s="314"/>
      <c r="E359" s="314"/>
      <c r="F359" s="314"/>
      <c r="G359" s="314"/>
      <c r="H359" s="314"/>
      <c r="I359" s="37" t="s">
        <v>237</v>
      </c>
      <c r="J359" s="37" t="s">
        <v>197</v>
      </c>
      <c r="K359" s="49" t="s">
        <v>205</v>
      </c>
      <c r="L359" s="186" t="s">
        <v>63</v>
      </c>
      <c r="M359" s="187" t="s">
        <v>58</v>
      </c>
      <c r="N359" s="82">
        <v>0</v>
      </c>
      <c r="O359" s="82">
        <v>0</v>
      </c>
      <c r="P359" s="82">
        <v>94.8</v>
      </c>
      <c r="Q359" s="82">
        <v>94.8</v>
      </c>
      <c r="R359" s="82">
        <v>94.8</v>
      </c>
      <c r="S359" s="321"/>
      <c r="T359" s="355"/>
      <c r="U359" s="355"/>
    </row>
    <row r="360" spans="1:19" s="355" customFormat="1" ht="15.75" customHeight="1">
      <c r="A360" s="450" t="s">
        <v>746</v>
      </c>
      <c r="B360" s="316" t="s">
        <v>783</v>
      </c>
      <c r="C360" s="301"/>
      <c r="D360" s="301"/>
      <c r="E360" s="301"/>
      <c r="F360" s="301"/>
      <c r="G360" s="301"/>
      <c r="H360" s="301"/>
      <c r="I360" s="308"/>
      <c r="J360" s="308"/>
      <c r="K360" s="308"/>
      <c r="L360" s="317" t="s">
        <v>65</v>
      </c>
      <c r="M360" s="317" t="s">
        <v>69</v>
      </c>
      <c r="N360" s="303">
        <f>SUM(N361:N363)</f>
        <v>7605.50598</v>
      </c>
      <c r="O360" s="303">
        <f>SUM(O361:O363)</f>
        <v>7605.50598</v>
      </c>
      <c r="P360" s="303">
        <f>SUM(P361:P363)</f>
        <v>0</v>
      </c>
      <c r="Q360" s="303">
        <f>SUM(Q361:Q363)</f>
        <v>0</v>
      </c>
      <c r="R360" s="303">
        <f>SUM(R361:R363)</f>
        <v>0</v>
      </c>
      <c r="S360" s="323">
        <v>0</v>
      </c>
    </row>
    <row r="361" spans="1:21" s="355" customFormat="1" ht="47.25" customHeight="1">
      <c r="A361" s="451"/>
      <c r="B361" s="315" t="s">
        <v>749</v>
      </c>
      <c r="C361" s="301"/>
      <c r="D361" s="301"/>
      <c r="E361" s="301"/>
      <c r="F361" s="301"/>
      <c r="G361" s="301"/>
      <c r="H361" s="301"/>
      <c r="I361" s="236" t="s">
        <v>822</v>
      </c>
      <c r="J361" s="236" t="s">
        <v>197</v>
      </c>
      <c r="K361" s="236" t="s">
        <v>205</v>
      </c>
      <c r="L361" s="317"/>
      <c r="M361" s="317"/>
      <c r="N361" s="238">
        <v>7494.60598</v>
      </c>
      <c r="O361" s="238">
        <v>7494.60598</v>
      </c>
      <c r="P361" s="238">
        <v>0</v>
      </c>
      <c r="Q361" s="238">
        <v>0</v>
      </c>
      <c r="R361" s="238">
        <v>0</v>
      </c>
      <c r="S361" s="203">
        <f>SUM(S362:S365)</f>
        <v>0</v>
      </c>
      <c r="T361" s="356"/>
      <c r="U361" s="356"/>
    </row>
    <row r="362" spans="1:19" s="355" customFormat="1" ht="108.75" customHeight="1">
      <c r="A362" s="259"/>
      <c r="B362" s="318"/>
      <c r="C362" s="319"/>
      <c r="D362" s="319"/>
      <c r="E362" s="319"/>
      <c r="F362" s="319"/>
      <c r="G362" s="319"/>
      <c r="H362" s="319"/>
      <c r="I362" s="200" t="s">
        <v>797</v>
      </c>
      <c r="J362" s="200" t="s">
        <v>197</v>
      </c>
      <c r="K362" s="200" t="s">
        <v>798</v>
      </c>
      <c r="L362" s="320"/>
      <c r="M362" s="320"/>
      <c r="N362" s="321"/>
      <c r="O362" s="321"/>
      <c r="P362" s="321"/>
      <c r="Q362" s="321"/>
      <c r="R362" s="321"/>
      <c r="S362" s="284">
        <v>0</v>
      </c>
    </row>
    <row r="363" spans="1:19" s="355" customFormat="1" ht="60">
      <c r="A363" s="319"/>
      <c r="B363" s="307" t="s">
        <v>922</v>
      </c>
      <c r="C363" s="234"/>
      <c r="D363" s="234"/>
      <c r="E363" s="234"/>
      <c r="F363" s="234"/>
      <c r="G363" s="234"/>
      <c r="H363" s="234"/>
      <c r="I363" s="308" t="s">
        <v>943</v>
      </c>
      <c r="J363" s="308" t="s">
        <v>197</v>
      </c>
      <c r="K363" s="308" t="s">
        <v>944</v>
      </c>
      <c r="L363" s="322"/>
      <c r="M363" s="322"/>
      <c r="N363" s="323">
        <v>110.9</v>
      </c>
      <c r="O363" s="323">
        <v>110.9</v>
      </c>
      <c r="P363" s="323">
        <v>0</v>
      </c>
      <c r="Q363" s="323">
        <v>0</v>
      </c>
      <c r="R363" s="323">
        <v>0</v>
      </c>
      <c r="S363" s="284">
        <v>0</v>
      </c>
    </row>
    <row r="364" spans="1:21" s="356" customFormat="1" ht="38.25" customHeight="1">
      <c r="A364" s="201" t="s">
        <v>150</v>
      </c>
      <c r="B364" s="201" t="s">
        <v>151</v>
      </c>
      <c r="C364" s="201" t="s">
        <v>57</v>
      </c>
      <c r="D364" s="201" t="s">
        <v>57</v>
      </c>
      <c r="E364" s="201" t="s">
        <v>57</v>
      </c>
      <c r="F364" s="201" t="s">
        <v>57</v>
      </c>
      <c r="G364" s="201" t="s">
        <v>57</v>
      </c>
      <c r="H364" s="201" t="s">
        <v>57</v>
      </c>
      <c r="I364" s="201" t="s">
        <v>57</v>
      </c>
      <c r="J364" s="201" t="s">
        <v>57</v>
      </c>
      <c r="K364" s="201" t="s">
        <v>57</v>
      </c>
      <c r="L364" s="202" t="s">
        <v>71</v>
      </c>
      <c r="M364" s="202" t="s">
        <v>66</v>
      </c>
      <c r="N364" s="203">
        <f>SUM(N365:N368)</f>
        <v>5850.448039999999</v>
      </c>
      <c r="O364" s="203">
        <f>SUM(O365:O368)</f>
        <v>5797.6694</v>
      </c>
      <c r="P364" s="203">
        <f>SUM(P365:P369)</f>
        <v>60</v>
      </c>
      <c r="Q364" s="203">
        <f>SUM(Q365:Q369)</f>
        <v>0</v>
      </c>
      <c r="R364" s="203">
        <f>SUM(R365:R369)</f>
        <v>0</v>
      </c>
      <c r="S364" s="284">
        <v>0</v>
      </c>
      <c r="T364" s="355"/>
      <c r="U364" s="355"/>
    </row>
    <row r="365" spans="1:19" s="355" customFormat="1" ht="61.5" customHeight="1">
      <c r="A365" s="314" t="s">
        <v>1107</v>
      </c>
      <c r="B365" s="315" t="s">
        <v>616</v>
      </c>
      <c r="C365" s="314"/>
      <c r="D365" s="314"/>
      <c r="E365" s="314"/>
      <c r="F365" s="314"/>
      <c r="G365" s="314"/>
      <c r="H365" s="314"/>
      <c r="I365" s="33" t="s">
        <v>728</v>
      </c>
      <c r="J365" s="33" t="s">
        <v>197</v>
      </c>
      <c r="K365" s="33" t="s">
        <v>729</v>
      </c>
      <c r="L365" s="253" t="s">
        <v>71</v>
      </c>
      <c r="M365" s="254" t="s">
        <v>66</v>
      </c>
      <c r="N365" s="365">
        <v>637.858</v>
      </c>
      <c r="O365" s="365">
        <v>637.858</v>
      </c>
      <c r="P365" s="282">
        <v>0</v>
      </c>
      <c r="Q365" s="282">
        <v>0</v>
      </c>
      <c r="R365" s="282">
        <v>0</v>
      </c>
      <c r="S365" s="284">
        <v>0</v>
      </c>
    </row>
    <row r="366" spans="1:21" s="355" customFormat="1" ht="62.25" customHeight="1">
      <c r="A366" s="193" t="s">
        <v>1108</v>
      </c>
      <c r="B366" s="300" t="s">
        <v>596</v>
      </c>
      <c r="C366" s="193"/>
      <c r="D366" s="193"/>
      <c r="E366" s="193"/>
      <c r="F366" s="193"/>
      <c r="G366" s="193"/>
      <c r="H366" s="193"/>
      <c r="I366" s="6" t="s">
        <v>1062</v>
      </c>
      <c r="J366" s="6" t="s">
        <v>197</v>
      </c>
      <c r="K366" s="6" t="s">
        <v>857</v>
      </c>
      <c r="L366" s="254" t="s">
        <v>71</v>
      </c>
      <c r="M366" s="254" t="s">
        <v>66</v>
      </c>
      <c r="N366" s="282">
        <v>184.69004</v>
      </c>
      <c r="O366" s="282">
        <v>184.6904</v>
      </c>
      <c r="P366" s="282">
        <v>0</v>
      </c>
      <c r="Q366" s="282">
        <v>0</v>
      </c>
      <c r="R366" s="282">
        <v>0</v>
      </c>
      <c r="S366" s="203">
        <f>SUM(S367:S372)</f>
        <v>0</v>
      </c>
      <c r="T366" s="356"/>
      <c r="U366" s="356"/>
    </row>
    <row r="367" spans="1:19" s="355" customFormat="1" ht="60">
      <c r="A367" s="305" t="s">
        <v>1109</v>
      </c>
      <c r="B367" s="307" t="s">
        <v>570</v>
      </c>
      <c r="C367" s="305"/>
      <c r="D367" s="305"/>
      <c r="E367" s="305"/>
      <c r="F367" s="305"/>
      <c r="G367" s="305"/>
      <c r="H367" s="305"/>
      <c r="I367" s="37" t="s">
        <v>948</v>
      </c>
      <c r="J367" s="37" t="s">
        <v>197</v>
      </c>
      <c r="K367" s="37" t="s">
        <v>949</v>
      </c>
      <c r="L367" s="309" t="s">
        <v>71</v>
      </c>
      <c r="M367" s="309" t="s">
        <v>66</v>
      </c>
      <c r="N367" s="334">
        <v>50</v>
      </c>
      <c r="O367" s="334">
        <v>50</v>
      </c>
      <c r="P367" s="282">
        <v>0</v>
      </c>
      <c r="Q367" s="282">
        <v>0</v>
      </c>
      <c r="R367" s="282">
        <v>0</v>
      </c>
      <c r="S367" s="409">
        <v>0</v>
      </c>
    </row>
    <row r="368" spans="1:19" s="355" customFormat="1" ht="60">
      <c r="A368" s="314" t="s">
        <v>1110</v>
      </c>
      <c r="B368" s="315" t="s">
        <v>980</v>
      </c>
      <c r="C368" s="314"/>
      <c r="D368" s="314"/>
      <c r="E368" s="314"/>
      <c r="F368" s="314"/>
      <c r="G368" s="314"/>
      <c r="H368" s="314"/>
      <c r="I368" s="420" t="s">
        <v>981</v>
      </c>
      <c r="J368" s="33" t="s">
        <v>197</v>
      </c>
      <c r="K368" s="33" t="s">
        <v>982</v>
      </c>
      <c r="L368" s="237" t="s">
        <v>71</v>
      </c>
      <c r="M368" s="237" t="s">
        <v>66</v>
      </c>
      <c r="N368" s="276">
        <v>4977.9</v>
      </c>
      <c r="O368" s="276">
        <v>4925.121</v>
      </c>
      <c r="P368" s="282">
        <v>0</v>
      </c>
      <c r="Q368" s="282">
        <v>0</v>
      </c>
      <c r="R368" s="282">
        <v>0</v>
      </c>
      <c r="S368" s="278">
        <v>0</v>
      </c>
    </row>
    <row r="369" spans="1:19" s="355" customFormat="1" ht="84.75" customHeight="1">
      <c r="A369" s="305" t="s">
        <v>1197</v>
      </c>
      <c r="B369" s="307" t="s">
        <v>1198</v>
      </c>
      <c r="C369" s="305"/>
      <c r="D369" s="305"/>
      <c r="E369" s="305"/>
      <c r="F369" s="305"/>
      <c r="G369" s="305"/>
      <c r="H369" s="305"/>
      <c r="I369" s="436" t="s">
        <v>1214</v>
      </c>
      <c r="J369" s="37" t="s">
        <v>197</v>
      </c>
      <c r="K369" s="37" t="s">
        <v>1212</v>
      </c>
      <c r="L369" s="309" t="s">
        <v>71</v>
      </c>
      <c r="M369" s="309" t="s">
        <v>66</v>
      </c>
      <c r="N369" s="334">
        <v>0</v>
      </c>
      <c r="O369" s="334">
        <v>0</v>
      </c>
      <c r="P369" s="334">
        <v>60</v>
      </c>
      <c r="Q369" s="334">
        <v>0</v>
      </c>
      <c r="R369" s="334">
        <v>0</v>
      </c>
      <c r="S369" s="278"/>
    </row>
    <row r="370" spans="1:21" s="356" customFormat="1" ht="36">
      <c r="A370" s="201" t="s">
        <v>152</v>
      </c>
      <c r="B370" s="201" t="s">
        <v>153</v>
      </c>
      <c r="C370" s="201" t="s">
        <v>57</v>
      </c>
      <c r="D370" s="201" t="s">
        <v>57</v>
      </c>
      <c r="E370" s="201" t="s">
        <v>57</v>
      </c>
      <c r="F370" s="201" t="s">
        <v>57</v>
      </c>
      <c r="G370" s="201" t="s">
        <v>57</v>
      </c>
      <c r="H370" s="201" t="s">
        <v>57</v>
      </c>
      <c r="I370" s="201" t="s">
        <v>57</v>
      </c>
      <c r="J370" s="201" t="s">
        <v>57</v>
      </c>
      <c r="K370" s="201" t="s">
        <v>57</v>
      </c>
      <c r="L370" s="202"/>
      <c r="M370" s="202"/>
      <c r="N370" s="203">
        <f>SUM(N371:N375)</f>
        <v>249.99</v>
      </c>
      <c r="O370" s="203">
        <f>SUM(O371:O375)</f>
        <v>249.99</v>
      </c>
      <c r="P370" s="421">
        <f>SUM(P371:P377)</f>
        <v>550</v>
      </c>
      <c r="Q370" s="421">
        <f>SUM(Q371:Q377)</f>
        <v>0</v>
      </c>
      <c r="R370" s="421">
        <f>SUM(R371:R377)</f>
        <v>0</v>
      </c>
      <c r="S370" s="327">
        <v>0</v>
      </c>
      <c r="T370" s="355"/>
      <c r="U370" s="355"/>
    </row>
    <row r="371" spans="1:19" s="355" customFormat="1" ht="30" customHeight="1">
      <c r="A371" s="475" t="s">
        <v>1111</v>
      </c>
      <c r="B371" s="315" t="s">
        <v>594</v>
      </c>
      <c r="C371" s="314"/>
      <c r="D371" s="314"/>
      <c r="E371" s="314"/>
      <c r="F371" s="314"/>
      <c r="G371" s="314"/>
      <c r="H371" s="314"/>
      <c r="I371" s="486" t="s">
        <v>738</v>
      </c>
      <c r="J371" s="488" t="s">
        <v>197</v>
      </c>
      <c r="K371" s="490" t="s">
        <v>739</v>
      </c>
      <c r="L371" s="237" t="s">
        <v>71</v>
      </c>
      <c r="M371" s="237" t="s">
        <v>46</v>
      </c>
      <c r="N371" s="276">
        <v>50</v>
      </c>
      <c r="O371" s="276">
        <v>50</v>
      </c>
      <c r="P371" s="409">
        <v>0</v>
      </c>
      <c r="Q371" s="409">
        <v>0</v>
      </c>
      <c r="R371" s="409">
        <v>0</v>
      </c>
      <c r="S371" s="314"/>
    </row>
    <row r="372" spans="1:19" s="355" customFormat="1" ht="30" customHeight="1">
      <c r="A372" s="494"/>
      <c r="B372" s="242" t="s">
        <v>565</v>
      </c>
      <c r="C372" s="198"/>
      <c r="D372" s="198"/>
      <c r="E372" s="198"/>
      <c r="F372" s="198"/>
      <c r="G372" s="198"/>
      <c r="H372" s="198"/>
      <c r="I372" s="446"/>
      <c r="J372" s="448"/>
      <c r="K372" s="495"/>
      <c r="L372" s="199"/>
      <c r="M372" s="199"/>
      <c r="N372" s="278">
        <v>50</v>
      </c>
      <c r="O372" s="278">
        <v>50</v>
      </c>
      <c r="P372" s="278">
        <v>0</v>
      </c>
      <c r="Q372" s="278">
        <v>0</v>
      </c>
      <c r="R372" s="278">
        <v>0</v>
      </c>
      <c r="S372" s="327">
        <v>0</v>
      </c>
    </row>
    <row r="373" spans="1:21" s="355" customFormat="1" ht="21.75" customHeight="1">
      <c r="A373" s="476"/>
      <c r="B373" s="325" t="s">
        <v>740</v>
      </c>
      <c r="C373" s="326"/>
      <c r="D373" s="326"/>
      <c r="E373" s="326"/>
      <c r="F373" s="326"/>
      <c r="G373" s="326"/>
      <c r="H373" s="326"/>
      <c r="I373" s="487"/>
      <c r="J373" s="489"/>
      <c r="K373" s="491"/>
      <c r="L373" s="249"/>
      <c r="M373" s="249"/>
      <c r="N373" s="327">
        <v>99.99</v>
      </c>
      <c r="O373" s="327">
        <v>99.99</v>
      </c>
      <c r="P373" s="327">
        <v>0</v>
      </c>
      <c r="Q373" s="327">
        <v>0</v>
      </c>
      <c r="R373" s="327">
        <v>0</v>
      </c>
      <c r="S373" s="304">
        <f>SUM(S374)</f>
        <v>0</v>
      </c>
      <c r="T373" s="356"/>
      <c r="U373" s="356"/>
    </row>
    <row r="374" spans="1:19" s="355" customFormat="1" ht="36.75" customHeight="1">
      <c r="A374" s="475" t="s">
        <v>1112</v>
      </c>
      <c r="B374" s="315"/>
      <c r="C374" s="314"/>
      <c r="D374" s="314"/>
      <c r="E374" s="314"/>
      <c r="F374" s="314"/>
      <c r="G374" s="314"/>
      <c r="H374" s="314"/>
      <c r="I374" s="486" t="s">
        <v>743</v>
      </c>
      <c r="J374" s="488" t="s">
        <v>197</v>
      </c>
      <c r="K374" s="490" t="s">
        <v>739</v>
      </c>
      <c r="L374" s="237"/>
      <c r="M374" s="237"/>
      <c r="N374" s="276"/>
      <c r="O374" s="276"/>
      <c r="P374" s="314"/>
      <c r="Q374" s="314"/>
      <c r="R374" s="314"/>
      <c r="S374" s="333">
        <v>0</v>
      </c>
    </row>
    <row r="375" spans="1:21" s="355" customFormat="1" ht="36.75" customHeight="1">
      <c r="A375" s="476"/>
      <c r="B375" s="325" t="s">
        <v>604</v>
      </c>
      <c r="C375" s="326"/>
      <c r="D375" s="326"/>
      <c r="E375" s="326"/>
      <c r="F375" s="326"/>
      <c r="G375" s="326"/>
      <c r="H375" s="326"/>
      <c r="I375" s="487"/>
      <c r="J375" s="489"/>
      <c r="K375" s="491"/>
      <c r="L375" s="249" t="s">
        <v>71</v>
      </c>
      <c r="M375" s="249" t="s">
        <v>46</v>
      </c>
      <c r="N375" s="327">
        <v>50</v>
      </c>
      <c r="O375" s="327">
        <v>50</v>
      </c>
      <c r="P375" s="327">
        <v>0</v>
      </c>
      <c r="Q375" s="327">
        <v>0</v>
      </c>
      <c r="R375" s="327">
        <v>0</v>
      </c>
      <c r="S375" s="170">
        <f>SUM(S379:S380)</f>
        <v>0</v>
      </c>
      <c r="T375" s="356"/>
      <c r="U375" s="356"/>
    </row>
    <row r="376" spans="1:21" s="355" customFormat="1" ht="72">
      <c r="A376" s="422" t="s">
        <v>1199</v>
      </c>
      <c r="B376" s="325" t="s">
        <v>1200</v>
      </c>
      <c r="C376" s="326"/>
      <c r="D376" s="326"/>
      <c r="E376" s="326"/>
      <c r="F376" s="326"/>
      <c r="G376" s="326"/>
      <c r="H376" s="326"/>
      <c r="I376" s="59" t="s">
        <v>1213</v>
      </c>
      <c r="J376" s="3" t="s">
        <v>197</v>
      </c>
      <c r="K376" s="28" t="s">
        <v>1212</v>
      </c>
      <c r="L376" s="249" t="s">
        <v>71</v>
      </c>
      <c r="M376" s="249" t="s">
        <v>46</v>
      </c>
      <c r="N376" s="327">
        <v>0</v>
      </c>
      <c r="O376" s="327">
        <v>0</v>
      </c>
      <c r="P376" s="327">
        <v>350</v>
      </c>
      <c r="Q376" s="327">
        <v>0</v>
      </c>
      <c r="R376" s="327">
        <v>0</v>
      </c>
      <c r="S376" s="170"/>
      <c r="T376" s="356"/>
      <c r="U376" s="356"/>
    </row>
    <row r="377" spans="1:21" s="355" customFormat="1" ht="84">
      <c r="A377" s="422" t="s">
        <v>1201</v>
      </c>
      <c r="B377" s="325" t="s">
        <v>1202</v>
      </c>
      <c r="C377" s="326"/>
      <c r="D377" s="326"/>
      <c r="E377" s="326"/>
      <c r="F377" s="326"/>
      <c r="G377" s="326"/>
      <c r="H377" s="326"/>
      <c r="I377" s="59" t="s">
        <v>1211</v>
      </c>
      <c r="J377" s="3" t="s">
        <v>197</v>
      </c>
      <c r="K377" s="28" t="s">
        <v>1212</v>
      </c>
      <c r="L377" s="249" t="s">
        <v>71</v>
      </c>
      <c r="M377" s="249" t="s">
        <v>46</v>
      </c>
      <c r="N377" s="327">
        <v>0</v>
      </c>
      <c r="O377" s="327">
        <v>0</v>
      </c>
      <c r="P377" s="327">
        <v>200</v>
      </c>
      <c r="Q377" s="327">
        <v>0</v>
      </c>
      <c r="R377" s="327">
        <v>0</v>
      </c>
      <c r="S377" s="170"/>
      <c r="T377" s="356"/>
      <c r="U377" s="356"/>
    </row>
    <row r="378" spans="1:19" s="356" customFormat="1" ht="35.25" customHeight="1">
      <c r="A378" s="234" t="s">
        <v>154</v>
      </c>
      <c r="B378" s="234" t="s">
        <v>155</v>
      </c>
      <c r="C378" s="234"/>
      <c r="D378" s="234"/>
      <c r="E378" s="234"/>
      <c r="F378" s="234"/>
      <c r="G378" s="234"/>
      <c r="H378" s="234"/>
      <c r="I378" s="51"/>
      <c r="J378" s="51"/>
      <c r="K378" s="52"/>
      <c r="L378" s="322"/>
      <c r="M378" s="322"/>
      <c r="N378" s="304">
        <f>SUM(N379)</f>
        <v>32</v>
      </c>
      <c r="O378" s="304">
        <f>SUM(O379)</f>
        <v>32</v>
      </c>
      <c r="P378" s="304">
        <f>SUM(P379)</f>
        <v>0</v>
      </c>
      <c r="Q378" s="304">
        <f>SUM(Q379)</f>
        <v>0</v>
      </c>
      <c r="R378" s="304">
        <f>SUM(R379)</f>
        <v>0</v>
      </c>
      <c r="S378" s="167"/>
    </row>
    <row r="379" spans="1:21" s="355" customFormat="1" ht="72">
      <c r="A379" s="328" t="s">
        <v>1113</v>
      </c>
      <c r="B379" s="329" t="s">
        <v>977</v>
      </c>
      <c r="C379" s="328"/>
      <c r="D379" s="328"/>
      <c r="E379" s="328"/>
      <c r="F379" s="328"/>
      <c r="G379" s="328"/>
      <c r="H379" s="263"/>
      <c r="I379" s="37" t="s">
        <v>978</v>
      </c>
      <c r="J379" s="37" t="s">
        <v>197</v>
      </c>
      <c r="K379" s="49" t="s">
        <v>979</v>
      </c>
      <c r="L379" s="342" t="s">
        <v>58</v>
      </c>
      <c r="M379" s="343" t="s">
        <v>49</v>
      </c>
      <c r="N379" s="333">
        <v>32</v>
      </c>
      <c r="O379" s="333">
        <v>32</v>
      </c>
      <c r="P379" s="333">
        <v>0</v>
      </c>
      <c r="Q379" s="333">
        <v>0</v>
      </c>
      <c r="R379" s="333">
        <v>0</v>
      </c>
      <c r="S379" s="174">
        <f>S381+S389</f>
        <v>0</v>
      </c>
      <c r="T379" s="357"/>
      <c r="U379" s="357"/>
    </row>
    <row r="380" spans="1:21" s="356" customFormat="1" ht="84">
      <c r="A380" s="167" t="s">
        <v>156</v>
      </c>
      <c r="B380" s="330" t="s">
        <v>157</v>
      </c>
      <c r="C380" s="167"/>
      <c r="D380" s="167"/>
      <c r="E380" s="167"/>
      <c r="F380" s="167"/>
      <c r="G380" s="167"/>
      <c r="H380" s="167"/>
      <c r="I380" s="295"/>
      <c r="J380" s="295"/>
      <c r="K380" s="295"/>
      <c r="L380" s="169"/>
      <c r="M380" s="169"/>
      <c r="N380" s="170">
        <f>SUM(N382:N383)</f>
        <v>5542.52</v>
      </c>
      <c r="O380" s="170">
        <f>SUM(O382:O383)</f>
        <v>5542.52</v>
      </c>
      <c r="P380" s="170">
        <f>SUM(P382:P383)</f>
        <v>3934.915</v>
      </c>
      <c r="Q380" s="170">
        <f>SUM(Q382:Q383)</f>
        <v>3924.1</v>
      </c>
      <c r="R380" s="170">
        <f>SUM(R382:R383)</f>
        <v>3924.1</v>
      </c>
      <c r="S380" s="174">
        <f>SUM(S382:S388)+SUM(S390:S394)</f>
        <v>0</v>
      </c>
      <c r="T380" s="357"/>
      <c r="U380" s="357"/>
    </row>
    <row r="381" spans="1:21" s="356" customFormat="1" ht="12">
      <c r="A381" s="167" t="s">
        <v>246</v>
      </c>
      <c r="B381" s="330"/>
      <c r="C381" s="167"/>
      <c r="D381" s="167"/>
      <c r="E381" s="167"/>
      <c r="F381" s="167"/>
      <c r="G381" s="167"/>
      <c r="H381" s="167"/>
      <c r="I381" s="167"/>
      <c r="J381" s="167"/>
      <c r="K381" s="167"/>
      <c r="L381" s="161"/>
      <c r="M381" s="161"/>
      <c r="N381" s="167"/>
      <c r="O381" s="167"/>
      <c r="P381" s="167"/>
      <c r="Q381" s="167"/>
      <c r="R381" s="167"/>
      <c r="S381" s="333">
        <v>0</v>
      </c>
      <c r="T381" s="355"/>
      <c r="U381" s="355"/>
    </row>
    <row r="382" spans="1:21" s="357" customFormat="1" ht="12">
      <c r="A382" s="171"/>
      <c r="B382" s="331"/>
      <c r="C382" s="171"/>
      <c r="D382" s="171"/>
      <c r="E382" s="171"/>
      <c r="F382" s="171"/>
      <c r="G382" s="171"/>
      <c r="H382" s="171"/>
      <c r="I382" s="171"/>
      <c r="J382" s="171"/>
      <c r="K382" s="171"/>
      <c r="L382" s="332" t="s">
        <v>47</v>
      </c>
      <c r="M382" s="332" t="s">
        <v>58</v>
      </c>
      <c r="N382" s="174">
        <f>N384+N392</f>
        <v>4084.1800000000003</v>
      </c>
      <c r="O382" s="174">
        <f>O384+O392</f>
        <v>4084.1800000000003</v>
      </c>
      <c r="P382" s="174">
        <f>P384+P392</f>
        <v>3834.915</v>
      </c>
      <c r="Q382" s="174">
        <f>Q384+Q392</f>
        <v>3924.1</v>
      </c>
      <c r="R382" s="174">
        <f>R384+R392</f>
        <v>3924.1</v>
      </c>
      <c r="S382" s="333">
        <v>0</v>
      </c>
      <c r="T382" s="355"/>
      <c r="U382" s="355"/>
    </row>
    <row r="383" spans="1:21" s="357" customFormat="1" ht="12">
      <c r="A383" s="171"/>
      <c r="B383" s="331"/>
      <c r="C383" s="171"/>
      <c r="D383" s="171"/>
      <c r="E383" s="171"/>
      <c r="F383" s="171"/>
      <c r="G383" s="171"/>
      <c r="H383" s="171"/>
      <c r="I383" s="171"/>
      <c r="J383" s="171"/>
      <c r="K383" s="171"/>
      <c r="L383" s="172" t="s">
        <v>47</v>
      </c>
      <c r="M383" s="172" t="s">
        <v>64</v>
      </c>
      <c r="N383" s="174">
        <f>SUM(N385:N391)+SUM(N393:N397)</f>
        <v>1458.3400000000001</v>
      </c>
      <c r="O383" s="174">
        <f>SUM(O385:O391)+SUM(O393:O397)</f>
        <v>1458.3400000000001</v>
      </c>
      <c r="P383" s="174">
        <f>SUM(P385:P391)+SUM(P393:P397)</f>
        <v>100</v>
      </c>
      <c r="Q383" s="174">
        <f>SUM(Q385:Q391)+SUM(Q393:Q397)</f>
        <v>0</v>
      </c>
      <c r="R383" s="174">
        <f>SUM(R385:R391)+SUM(R393:R397)</f>
        <v>0</v>
      </c>
      <c r="S383" s="333">
        <v>0</v>
      </c>
      <c r="T383" s="355"/>
      <c r="U383" s="355"/>
    </row>
    <row r="384" spans="1:19" s="355" customFormat="1" ht="94.5" customHeight="1">
      <c r="A384" s="185" t="s">
        <v>599</v>
      </c>
      <c r="B384" s="288" t="s">
        <v>1173</v>
      </c>
      <c r="C384" s="185" t="s">
        <v>57</v>
      </c>
      <c r="D384" s="185" t="s">
        <v>57</v>
      </c>
      <c r="E384" s="185" t="s">
        <v>57</v>
      </c>
      <c r="F384" s="14" t="s">
        <v>600</v>
      </c>
      <c r="G384" s="14" t="s">
        <v>601</v>
      </c>
      <c r="H384" s="14" t="s">
        <v>332</v>
      </c>
      <c r="I384" s="14" t="s">
        <v>1171</v>
      </c>
      <c r="J384" s="14" t="s">
        <v>197</v>
      </c>
      <c r="K384" s="14" t="s">
        <v>1172</v>
      </c>
      <c r="L384" s="161" t="s">
        <v>47</v>
      </c>
      <c r="M384" s="161" t="s">
        <v>58</v>
      </c>
      <c r="N384" s="333">
        <v>3916.478</v>
      </c>
      <c r="O384" s="333">
        <v>3916.478</v>
      </c>
      <c r="P384" s="333">
        <v>3834.915</v>
      </c>
      <c r="Q384" s="333">
        <v>3924.1</v>
      </c>
      <c r="R384" s="333">
        <v>3924.1</v>
      </c>
      <c r="S384" s="333">
        <v>0</v>
      </c>
    </row>
    <row r="385" spans="1:19" s="355" customFormat="1" ht="72">
      <c r="A385" s="328" t="s">
        <v>747</v>
      </c>
      <c r="B385" s="300" t="s">
        <v>595</v>
      </c>
      <c r="C385" s="193"/>
      <c r="D385" s="193"/>
      <c r="E385" s="193"/>
      <c r="F385" s="193"/>
      <c r="G385" s="193"/>
      <c r="H385" s="298"/>
      <c r="I385" s="33" t="s">
        <v>806</v>
      </c>
      <c r="J385" s="33" t="s">
        <v>197</v>
      </c>
      <c r="K385" s="33" t="s">
        <v>807</v>
      </c>
      <c r="L385" s="237" t="s">
        <v>47</v>
      </c>
      <c r="M385" s="237" t="s">
        <v>64</v>
      </c>
      <c r="N385" s="276">
        <v>60</v>
      </c>
      <c r="O385" s="276">
        <v>60</v>
      </c>
      <c r="P385" s="333">
        <v>0</v>
      </c>
      <c r="Q385" s="333">
        <v>0</v>
      </c>
      <c r="R385" s="333">
        <v>0</v>
      </c>
      <c r="S385" s="333">
        <v>0</v>
      </c>
    </row>
    <row r="386" spans="1:19" s="355" customFormat="1" ht="60">
      <c r="A386" s="263" t="s">
        <v>826</v>
      </c>
      <c r="B386" s="307" t="s">
        <v>598</v>
      </c>
      <c r="C386" s="305"/>
      <c r="D386" s="305"/>
      <c r="E386" s="305"/>
      <c r="F386" s="305"/>
      <c r="G386" s="305"/>
      <c r="H386" s="305"/>
      <c r="I386" s="37" t="s">
        <v>860</v>
      </c>
      <c r="J386" s="37" t="s">
        <v>197</v>
      </c>
      <c r="K386" s="37" t="s">
        <v>805</v>
      </c>
      <c r="L386" s="309" t="s">
        <v>47</v>
      </c>
      <c r="M386" s="309" t="s">
        <v>64</v>
      </c>
      <c r="N386" s="334">
        <v>145.5</v>
      </c>
      <c r="O386" s="334">
        <v>145.5</v>
      </c>
      <c r="P386" s="333">
        <v>0</v>
      </c>
      <c r="Q386" s="333">
        <v>0</v>
      </c>
      <c r="R386" s="333">
        <v>0</v>
      </c>
      <c r="S386" s="333">
        <v>0</v>
      </c>
    </row>
    <row r="387" spans="1:19" s="355" customFormat="1" ht="60">
      <c r="A387" s="298" t="s">
        <v>827</v>
      </c>
      <c r="B387" s="315" t="s">
        <v>258</v>
      </c>
      <c r="C387" s="314"/>
      <c r="D387" s="314"/>
      <c r="E387" s="314"/>
      <c r="F387" s="314"/>
      <c r="G387" s="314"/>
      <c r="H387" s="314"/>
      <c r="I387" s="33" t="s">
        <v>845</v>
      </c>
      <c r="J387" s="33" t="s">
        <v>197</v>
      </c>
      <c r="K387" s="33" t="s">
        <v>846</v>
      </c>
      <c r="L387" s="237" t="s">
        <v>47</v>
      </c>
      <c r="M387" s="237" t="s">
        <v>64</v>
      </c>
      <c r="N387" s="276">
        <v>51</v>
      </c>
      <c r="O387" s="276">
        <v>51</v>
      </c>
      <c r="P387" s="333">
        <v>0</v>
      </c>
      <c r="Q387" s="333">
        <v>0</v>
      </c>
      <c r="R387" s="333">
        <v>0</v>
      </c>
      <c r="S387" s="333">
        <v>0</v>
      </c>
    </row>
    <row r="388" spans="1:19" s="355" customFormat="1" ht="60">
      <c r="A388" s="305" t="s">
        <v>898</v>
      </c>
      <c r="B388" s="307" t="s">
        <v>899</v>
      </c>
      <c r="C388" s="305"/>
      <c r="D388" s="305"/>
      <c r="E388" s="305"/>
      <c r="F388" s="305"/>
      <c r="G388" s="305"/>
      <c r="H388" s="305"/>
      <c r="I388" s="37" t="s">
        <v>904</v>
      </c>
      <c r="J388" s="37" t="s">
        <v>197</v>
      </c>
      <c r="K388" s="37" t="s">
        <v>905</v>
      </c>
      <c r="L388" s="309" t="s">
        <v>47</v>
      </c>
      <c r="M388" s="309" t="s">
        <v>64</v>
      </c>
      <c r="N388" s="334">
        <v>38</v>
      </c>
      <c r="O388" s="334">
        <v>38</v>
      </c>
      <c r="P388" s="333">
        <v>0</v>
      </c>
      <c r="Q388" s="333">
        <v>0</v>
      </c>
      <c r="R388" s="333">
        <v>0</v>
      </c>
      <c r="S388" s="333">
        <v>0</v>
      </c>
    </row>
    <row r="389" spans="1:19" s="355" customFormat="1" ht="72">
      <c r="A389" s="305" t="s">
        <v>918</v>
      </c>
      <c r="B389" s="307" t="s">
        <v>919</v>
      </c>
      <c r="C389" s="305"/>
      <c r="D389" s="305"/>
      <c r="E389" s="305"/>
      <c r="F389" s="305"/>
      <c r="G389" s="305"/>
      <c r="H389" s="305"/>
      <c r="I389" s="37" t="s">
        <v>920</v>
      </c>
      <c r="J389" s="37" t="s">
        <v>197</v>
      </c>
      <c r="K389" s="37" t="s">
        <v>921</v>
      </c>
      <c r="L389" s="309" t="s">
        <v>47</v>
      </c>
      <c r="M389" s="309" t="s">
        <v>64</v>
      </c>
      <c r="N389" s="334">
        <v>150</v>
      </c>
      <c r="O389" s="334">
        <v>150</v>
      </c>
      <c r="P389" s="333">
        <v>0</v>
      </c>
      <c r="Q389" s="333">
        <v>0</v>
      </c>
      <c r="R389" s="333">
        <v>0</v>
      </c>
      <c r="S389" s="333">
        <v>0</v>
      </c>
    </row>
    <row r="390" spans="1:19" s="355" customFormat="1" ht="60">
      <c r="A390" s="305" t="s">
        <v>939</v>
      </c>
      <c r="B390" s="307" t="s">
        <v>938</v>
      </c>
      <c r="C390" s="305"/>
      <c r="D390" s="305"/>
      <c r="E390" s="305"/>
      <c r="F390" s="305"/>
      <c r="G390" s="305"/>
      <c r="H390" s="305"/>
      <c r="I390" s="37" t="s">
        <v>940</v>
      </c>
      <c r="J390" s="37" t="s">
        <v>197</v>
      </c>
      <c r="K390" s="37" t="s">
        <v>941</v>
      </c>
      <c r="L390" s="309" t="s">
        <v>47</v>
      </c>
      <c r="M390" s="309" t="s">
        <v>64</v>
      </c>
      <c r="N390" s="334">
        <v>200</v>
      </c>
      <c r="O390" s="334">
        <v>200</v>
      </c>
      <c r="P390" s="333">
        <v>0</v>
      </c>
      <c r="Q390" s="333">
        <v>0</v>
      </c>
      <c r="R390" s="333">
        <v>0</v>
      </c>
      <c r="S390" s="333">
        <v>0</v>
      </c>
    </row>
    <row r="391" spans="1:19" s="355" customFormat="1" ht="48">
      <c r="A391" s="305" t="s">
        <v>957</v>
      </c>
      <c r="B391" s="307" t="s">
        <v>588</v>
      </c>
      <c r="C391" s="305"/>
      <c r="D391" s="305"/>
      <c r="E391" s="305"/>
      <c r="F391" s="305"/>
      <c r="G391" s="305"/>
      <c r="H391" s="305"/>
      <c r="I391" s="37" t="s">
        <v>955</v>
      </c>
      <c r="J391" s="37" t="s">
        <v>197</v>
      </c>
      <c r="K391" s="37" t="s">
        <v>956</v>
      </c>
      <c r="L391" s="309" t="s">
        <v>47</v>
      </c>
      <c r="M391" s="309" t="s">
        <v>64</v>
      </c>
      <c r="N391" s="334">
        <v>50</v>
      </c>
      <c r="O391" s="334">
        <v>50</v>
      </c>
      <c r="P391" s="333">
        <v>0</v>
      </c>
      <c r="Q391" s="333">
        <v>0</v>
      </c>
      <c r="R391" s="333">
        <v>0</v>
      </c>
      <c r="S391" s="333">
        <v>0</v>
      </c>
    </row>
    <row r="392" spans="1:19" s="355" customFormat="1" ht="84">
      <c r="A392" s="305" t="s">
        <v>994</v>
      </c>
      <c r="B392" s="307" t="s">
        <v>590</v>
      </c>
      <c r="C392" s="305"/>
      <c r="D392" s="305"/>
      <c r="E392" s="305"/>
      <c r="F392" s="305"/>
      <c r="G392" s="305"/>
      <c r="H392" s="305"/>
      <c r="I392" s="37" t="s">
        <v>995</v>
      </c>
      <c r="J392" s="37" t="s">
        <v>197</v>
      </c>
      <c r="K392" s="37" t="s">
        <v>986</v>
      </c>
      <c r="L392" s="309" t="s">
        <v>47</v>
      </c>
      <c r="M392" s="309" t="s">
        <v>58</v>
      </c>
      <c r="N392" s="334">
        <v>167.702</v>
      </c>
      <c r="O392" s="334">
        <v>167.702</v>
      </c>
      <c r="P392" s="333">
        <v>0</v>
      </c>
      <c r="Q392" s="333">
        <v>0</v>
      </c>
      <c r="R392" s="333">
        <v>0</v>
      </c>
      <c r="S392" s="333">
        <v>0</v>
      </c>
    </row>
    <row r="393" spans="1:19" s="355" customFormat="1" ht="84">
      <c r="A393" s="305" t="s">
        <v>998</v>
      </c>
      <c r="B393" s="307" t="s">
        <v>586</v>
      </c>
      <c r="C393" s="305"/>
      <c r="D393" s="305"/>
      <c r="E393" s="305"/>
      <c r="F393" s="305"/>
      <c r="G393" s="305"/>
      <c r="H393" s="305"/>
      <c r="I393" s="37" t="s">
        <v>1057</v>
      </c>
      <c r="J393" s="37" t="s">
        <v>197</v>
      </c>
      <c r="K393" s="37" t="s">
        <v>999</v>
      </c>
      <c r="L393" s="309" t="s">
        <v>47</v>
      </c>
      <c r="M393" s="309" t="s">
        <v>64</v>
      </c>
      <c r="N393" s="334">
        <v>96</v>
      </c>
      <c r="O393" s="334">
        <v>96</v>
      </c>
      <c r="P393" s="333">
        <v>0</v>
      </c>
      <c r="Q393" s="333">
        <v>0</v>
      </c>
      <c r="R393" s="333">
        <v>0</v>
      </c>
      <c r="S393" s="333">
        <v>0</v>
      </c>
    </row>
    <row r="394" spans="1:19" s="355" customFormat="1" ht="73.5" customHeight="1">
      <c r="A394" s="305" t="s">
        <v>1027</v>
      </c>
      <c r="B394" s="307" t="s">
        <v>1192</v>
      </c>
      <c r="C394" s="305"/>
      <c r="D394" s="305"/>
      <c r="E394" s="305"/>
      <c r="F394" s="305"/>
      <c r="G394" s="305"/>
      <c r="H394" s="305"/>
      <c r="I394" s="37" t="s">
        <v>1207</v>
      </c>
      <c r="J394" s="37" t="s">
        <v>197</v>
      </c>
      <c r="K394" s="37" t="s">
        <v>1208</v>
      </c>
      <c r="L394" s="309" t="s">
        <v>47</v>
      </c>
      <c r="M394" s="309" t="s">
        <v>64</v>
      </c>
      <c r="N394" s="334">
        <v>450</v>
      </c>
      <c r="O394" s="334">
        <v>450</v>
      </c>
      <c r="P394" s="333">
        <v>100</v>
      </c>
      <c r="Q394" s="333">
        <v>0</v>
      </c>
      <c r="R394" s="333">
        <v>0</v>
      </c>
      <c r="S394" s="333">
        <v>0</v>
      </c>
    </row>
    <row r="395" spans="1:21" s="355" customFormat="1" ht="60" customHeight="1">
      <c r="A395" s="538" t="s">
        <v>1040</v>
      </c>
      <c r="B395" s="208" t="s">
        <v>1030</v>
      </c>
      <c r="C395" s="177"/>
      <c r="D395" s="177"/>
      <c r="E395" s="177"/>
      <c r="F395" s="177"/>
      <c r="G395" s="177"/>
      <c r="H395" s="177"/>
      <c r="I395" s="56" t="s">
        <v>1044</v>
      </c>
      <c r="J395" s="350" t="s">
        <v>197</v>
      </c>
      <c r="K395" s="350" t="s">
        <v>1043</v>
      </c>
      <c r="L395" s="245" t="s">
        <v>47</v>
      </c>
      <c r="M395" s="245" t="s">
        <v>64</v>
      </c>
      <c r="N395" s="282">
        <v>108</v>
      </c>
      <c r="O395" s="282">
        <v>108</v>
      </c>
      <c r="P395" s="333">
        <v>0</v>
      </c>
      <c r="Q395" s="333">
        <v>0</v>
      </c>
      <c r="R395" s="333">
        <v>0</v>
      </c>
      <c r="S395" s="324"/>
      <c r="T395" s="356"/>
      <c r="U395" s="356"/>
    </row>
    <row r="396" spans="1:21" s="355" customFormat="1" ht="60">
      <c r="A396" s="539"/>
      <c r="B396" s="208"/>
      <c r="C396" s="177"/>
      <c r="D396" s="177"/>
      <c r="E396" s="177"/>
      <c r="F396" s="177"/>
      <c r="G396" s="177"/>
      <c r="H396" s="177"/>
      <c r="I396" s="21" t="s">
        <v>1045</v>
      </c>
      <c r="J396" s="5" t="s">
        <v>197</v>
      </c>
      <c r="K396" s="5" t="s">
        <v>1043</v>
      </c>
      <c r="L396" s="208" t="s">
        <v>47</v>
      </c>
      <c r="M396" s="208" t="s">
        <v>64</v>
      </c>
      <c r="N396" s="282">
        <v>50</v>
      </c>
      <c r="O396" s="282">
        <v>50</v>
      </c>
      <c r="P396" s="333">
        <v>0</v>
      </c>
      <c r="Q396" s="333">
        <v>0</v>
      </c>
      <c r="R396" s="333">
        <v>0</v>
      </c>
      <c r="S396" s="165">
        <f>SUM(S398:S400)</f>
        <v>0</v>
      </c>
      <c r="T396" s="356"/>
      <c r="U396" s="356"/>
    </row>
    <row r="397" spans="1:21" s="355" customFormat="1" ht="60">
      <c r="A397" s="305" t="s">
        <v>1041</v>
      </c>
      <c r="B397" s="309" t="s">
        <v>1031</v>
      </c>
      <c r="C397" s="305"/>
      <c r="D397" s="305"/>
      <c r="E397" s="305"/>
      <c r="F397" s="305"/>
      <c r="G397" s="305"/>
      <c r="H397" s="305"/>
      <c r="I397" s="138" t="s">
        <v>1042</v>
      </c>
      <c r="J397" s="36" t="s">
        <v>197</v>
      </c>
      <c r="K397" s="36" t="s">
        <v>1043</v>
      </c>
      <c r="L397" s="309" t="s">
        <v>47</v>
      </c>
      <c r="M397" s="309" t="s">
        <v>64</v>
      </c>
      <c r="N397" s="334">
        <v>59.84</v>
      </c>
      <c r="O397" s="334">
        <v>59.84</v>
      </c>
      <c r="P397" s="333">
        <v>0</v>
      </c>
      <c r="Q397" s="333">
        <v>0</v>
      </c>
      <c r="R397" s="333">
        <v>0</v>
      </c>
      <c r="S397" s="192"/>
      <c r="T397" s="356"/>
      <c r="U397" s="356"/>
    </row>
    <row r="398" spans="1:21" s="356" customFormat="1" ht="48" hidden="1">
      <c r="A398" s="295" t="s">
        <v>158</v>
      </c>
      <c r="B398" s="295" t="s">
        <v>159</v>
      </c>
      <c r="C398" s="295" t="s">
        <v>57</v>
      </c>
      <c r="D398" s="295" t="s">
        <v>57</v>
      </c>
      <c r="E398" s="295" t="s">
        <v>57</v>
      </c>
      <c r="F398" s="295" t="s">
        <v>57</v>
      </c>
      <c r="G398" s="295" t="s">
        <v>57</v>
      </c>
      <c r="H398" s="295" t="s">
        <v>57</v>
      </c>
      <c r="I398" s="295" t="s">
        <v>57</v>
      </c>
      <c r="J398" s="295" t="s">
        <v>57</v>
      </c>
      <c r="K398" s="295" t="s">
        <v>57</v>
      </c>
      <c r="L398" s="228" t="s">
        <v>63</v>
      </c>
      <c r="M398" s="228" t="s">
        <v>71</v>
      </c>
      <c r="N398" s="296"/>
      <c r="O398" s="296"/>
      <c r="P398" s="296"/>
      <c r="Q398" s="296"/>
      <c r="R398" s="296"/>
      <c r="S398" s="335">
        <f>S404</f>
        <v>0</v>
      </c>
      <c r="T398" s="357"/>
      <c r="U398" s="357"/>
    </row>
    <row r="399" spans="1:21" s="356" customFormat="1" ht="132.75" customHeight="1">
      <c r="A399" s="162" t="s">
        <v>27</v>
      </c>
      <c r="B399" s="162" t="s">
        <v>160</v>
      </c>
      <c r="C399" s="162" t="s">
        <v>57</v>
      </c>
      <c r="D399" s="162" t="s">
        <v>57</v>
      </c>
      <c r="E399" s="162" t="s">
        <v>57</v>
      </c>
      <c r="F399" s="162" t="s">
        <v>57</v>
      </c>
      <c r="G399" s="162" t="s">
        <v>57</v>
      </c>
      <c r="H399" s="162" t="s">
        <v>57</v>
      </c>
      <c r="I399" s="162" t="s">
        <v>57</v>
      </c>
      <c r="J399" s="162" t="s">
        <v>57</v>
      </c>
      <c r="K399" s="162" t="s">
        <v>57</v>
      </c>
      <c r="L399" s="163"/>
      <c r="M399" s="163"/>
      <c r="N399" s="165">
        <f>SUM(N401:N403)</f>
        <v>2184.13084</v>
      </c>
      <c r="O399" s="165">
        <f>SUM(O401:O403)</f>
        <v>2184.13084</v>
      </c>
      <c r="P399" s="165">
        <f>SUM(P401:P403)</f>
        <v>379.586</v>
      </c>
      <c r="Q399" s="165">
        <f>SUM(Q401:Q403)</f>
        <v>0</v>
      </c>
      <c r="R399" s="165">
        <f>SUM(R401:R403)</f>
        <v>0</v>
      </c>
      <c r="S399" s="348">
        <f>SUM(S402:S403)+SUM(S405:S413)-S411</f>
        <v>0</v>
      </c>
      <c r="T399" s="357"/>
      <c r="U399" s="357"/>
    </row>
    <row r="400" spans="1:21" s="356" customFormat="1" ht="12" customHeight="1">
      <c r="A400" s="234" t="s">
        <v>246</v>
      </c>
      <c r="B400" s="234"/>
      <c r="C400" s="234"/>
      <c r="D400" s="234"/>
      <c r="E400" s="234"/>
      <c r="F400" s="234"/>
      <c r="G400" s="234"/>
      <c r="H400" s="234"/>
      <c r="I400" s="234"/>
      <c r="J400" s="234"/>
      <c r="K400" s="234"/>
      <c r="L400" s="191"/>
      <c r="M400" s="191"/>
      <c r="N400" s="192"/>
      <c r="O400" s="192"/>
      <c r="P400" s="192"/>
      <c r="Q400" s="192"/>
      <c r="R400" s="192"/>
      <c r="S400" s="313">
        <f>S411</f>
        <v>0</v>
      </c>
      <c r="T400" s="357"/>
      <c r="U400" s="357"/>
    </row>
    <row r="401" spans="1:21" s="357" customFormat="1" ht="12" customHeight="1">
      <c r="A401" s="272"/>
      <c r="B401" s="272"/>
      <c r="C401" s="272"/>
      <c r="D401" s="272"/>
      <c r="E401" s="272"/>
      <c r="F401" s="272"/>
      <c r="G401" s="272"/>
      <c r="H401" s="272"/>
      <c r="I401" s="272"/>
      <c r="J401" s="272"/>
      <c r="K401" s="272"/>
      <c r="L401" s="275" t="s">
        <v>58</v>
      </c>
      <c r="M401" s="275" t="s">
        <v>49</v>
      </c>
      <c r="N401" s="335">
        <f>N407</f>
        <v>250</v>
      </c>
      <c r="O401" s="335">
        <f>O407</f>
        <v>250</v>
      </c>
      <c r="P401" s="335">
        <f>P407</f>
        <v>0</v>
      </c>
      <c r="Q401" s="335">
        <f>Q407</f>
        <v>0</v>
      </c>
      <c r="R401" s="335">
        <f>R407</f>
        <v>0</v>
      </c>
      <c r="S401" s="324"/>
      <c r="T401" s="356"/>
      <c r="U401" s="356"/>
    </row>
    <row r="402" spans="1:21" s="357" customFormat="1" ht="15" customHeight="1">
      <c r="A402" s="311"/>
      <c r="B402" s="311"/>
      <c r="C402" s="311"/>
      <c r="D402" s="311"/>
      <c r="E402" s="311"/>
      <c r="F402" s="311"/>
      <c r="G402" s="311"/>
      <c r="H402" s="311"/>
      <c r="I402" s="311"/>
      <c r="J402" s="311"/>
      <c r="K402" s="311"/>
      <c r="L402" s="312" t="s">
        <v>63</v>
      </c>
      <c r="M402" s="312" t="s">
        <v>71</v>
      </c>
      <c r="N402" s="348">
        <f>SUM(N405:N406)+SUM(N408:N418)-N414</f>
        <v>1630.03084</v>
      </c>
      <c r="O402" s="348">
        <f>SUM(O405:O406)+SUM(O408:O418)-O414</f>
        <v>1630.03084</v>
      </c>
      <c r="P402" s="348">
        <f>SUM(P405:P406)+SUM(P408:P418)-P414</f>
        <v>379.586</v>
      </c>
      <c r="Q402" s="348">
        <f>SUM(Q405:Q406)+SUM(Q408:Q418)-Q414</f>
        <v>0</v>
      </c>
      <c r="R402" s="348">
        <f>SUM(R405:R406)+SUM(R408:R418)-R414</f>
        <v>0</v>
      </c>
      <c r="S402" s="282">
        <v>0</v>
      </c>
      <c r="T402" s="355"/>
      <c r="U402" s="355"/>
    </row>
    <row r="403" spans="1:21" s="357" customFormat="1" ht="15" customHeight="1">
      <c r="A403" s="272"/>
      <c r="B403" s="272"/>
      <c r="C403" s="272"/>
      <c r="D403" s="272"/>
      <c r="E403" s="272"/>
      <c r="F403" s="272"/>
      <c r="G403" s="272"/>
      <c r="H403" s="272"/>
      <c r="I403" s="272"/>
      <c r="J403" s="272"/>
      <c r="K403" s="272"/>
      <c r="L403" s="275" t="s">
        <v>69</v>
      </c>
      <c r="M403" s="275" t="s">
        <v>58</v>
      </c>
      <c r="N403" s="313">
        <f>N414</f>
        <v>304.1</v>
      </c>
      <c r="O403" s="313">
        <f>O414</f>
        <v>304.1</v>
      </c>
      <c r="P403" s="313">
        <f>P414</f>
        <v>0</v>
      </c>
      <c r="Q403" s="313">
        <f>Q414</f>
        <v>0</v>
      </c>
      <c r="R403" s="313">
        <f>R414</f>
        <v>0</v>
      </c>
      <c r="S403" s="282">
        <v>0</v>
      </c>
      <c r="T403" s="355"/>
      <c r="U403" s="355"/>
    </row>
    <row r="404" spans="1:21" s="356" customFormat="1" ht="14.25" customHeight="1">
      <c r="A404" s="188" t="s">
        <v>708</v>
      </c>
      <c r="B404" s="319"/>
      <c r="C404" s="319"/>
      <c r="D404" s="319"/>
      <c r="E404" s="319"/>
      <c r="F404" s="319"/>
      <c r="G404" s="319"/>
      <c r="H404" s="319"/>
      <c r="I404" s="319"/>
      <c r="J404" s="319"/>
      <c r="K404" s="319"/>
      <c r="L404" s="213"/>
      <c r="M404" s="213"/>
      <c r="N404" s="203"/>
      <c r="O404" s="203"/>
      <c r="P404" s="203"/>
      <c r="Q404" s="203"/>
      <c r="R404" s="203"/>
      <c r="S404" s="282">
        <v>0</v>
      </c>
      <c r="T404" s="355"/>
      <c r="U404" s="355"/>
    </row>
    <row r="405" spans="1:19" s="355" customFormat="1" ht="72">
      <c r="A405" s="193" t="s">
        <v>1114</v>
      </c>
      <c r="B405" s="300" t="s">
        <v>900</v>
      </c>
      <c r="C405" s="193"/>
      <c r="D405" s="193"/>
      <c r="E405" s="193"/>
      <c r="F405" s="193"/>
      <c r="G405" s="193"/>
      <c r="H405" s="193"/>
      <c r="I405" s="33" t="s">
        <v>910</v>
      </c>
      <c r="J405" s="33" t="s">
        <v>197</v>
      </c>
      <c r="K405" s="39" t="s">
        <v>735</v>
      </c>
      <c r="L405" s="254" t="s">
        <v>63</v>
      </c>
      <c r="M405" s="254" t="s">
        <v>71</v>
      </c>
      <c r="N405" s="282">
        <v>100</v>
      </c>
      <c r="O405" s="282">
        <v>100</v>
      </c>
      <c r="P405" s="282">
        <v>0</v>
      </c>
      <c r="Q405" s="282">
        <v>0</v>
      </c>
      <c r="R405" s="282">
        <v>0</v>
      </c>
      <c r="S405" s="282">
        <v>0</v>
      </c>
    </row>
    <row r="406" spans="1:19" s="355" customFormat="1" ht="72">
      <c r="A406" s="193" t="s">
        <v>1115</v>
      </c>
      <c r="B406" s="300" t="s">
        <v>605</v>
      </c>
      <c r="C406" s="193"/>
      <c r="D406" s="193"/>
      <c r="E406" s="193"/>
      <c r="F406" s="193"/>
      <c r="G406" s="193"/>
      <c r="H406" s="193"/>
      <c r="I406" s="33" t="s">
        <v>1032</v>
      </c>
      <c r="J406" s="33" t="s">
        <v>197</v>
      </c>
      <c r="K406" s="39" t="s">
        <v>857</v>
      </c>
      <c r="L406" s="254" t="s">
        <v>63</v>
      </c>
      <c r="M406" s="254" t="s">
        <v>71</v>
      </c>
      <c r="N406" s="282">
        <v>152.79914</v>
      </c>
      <c r="O406" s="282">
        <v>152.79914</v>
      </c>
      <c r="P406" s="282">
        <v>0</v>
      </c>
      <c r="Q406" s="282">
        <v>0</v>
      </c>
      <c r="R406" s="282">
        <v>0</v>
      </c>
      <c r="S406" s="282">
        <v>0</v>
      </c>
    </row>
    <row r="407" spans="1:19" s="355" customFormat="1" ht="60">
      <c r="A407" s="193" t="s">
        <v>1116</v>
      </c>
      <c r="B407" s="300" t="s">
        <v>569</v>
      </c>
      <c r="C407" s="193"/>
      <c r="D407" s="193"/>
      <c r="E407" s="193"/>
      <c r="F407" s="193"/>
      <c r="G407" s="193"/>
      <c r="H407" s="193"/>
      <c r="I407" s="33" t="s">
        <v>953</v>
      </c>
      <c r="J407" s="33" t="s">
        <v>197</v>
      </c>
      <c r="K407" s="39" t="s">
        <v>950</v>
      </c>
      <c r="L407" s="254" t="s">
        <v>58</v>
      </c>
      <c r="M407" s="254" t="s">
        <v>49</v>
      </c>
      <c r="N407" s="282">
        <v>250</v>
      </c>
      <c r="O407" s="282">
        <v>250</v>
      </c>
      <c r="P407" s="282">
        <v>0</v>
      </c>
      <c r="Q407" s="282">
        <v>0</v>
      </c>
      <c r="R407" s="282">
        <v>0</v>
      </c>
      <c r="S407" s="345"/>
    </row>
    <row r="408" spans="1:19" s="355" customFormat="1" ht="72">
      <c r="A408" s="193" t="s">
        <v>1117</v>
      </c>
      <c r="B408" s="300" t="s">
        <v>585</v>
      </c>
      <c r="C408" s="193"/>
      <c r="D408" s="193"/>
      <c r="E408" s="193"/>
      <c r="F408" s="193"/>
      <c r="G408" s="193"/>
      <c r="H408" s="193"/>
      <c r="I408" s="33" t="s">
        <v>954</v>
      </c>
      <c r="J408" s="33" t="s">
        <v>197</v>
      </c>
      <c r="K408" s="39" t="s">
        <v>950</v>
      </c>
      <c r="L408" s="254" t="s">
        <v>63</v>
      </c>
      <c r="M408" s="254" t="s">
        <v>71</v>
      </c>
      <c r="N408" s="282">
        <v>316.7</v>
      </c>
      <c r="O408" s="282">
        <v>316.7</v>
      </c>
      <c r="P408" s="282">
        <v>0</v>
      </c>
      <c r="Q408" s="282">
        <v>0</v>
      </c>
      <c r="R408" s="282">
        <v>0</v>
      </c>
      <c r="S408" s="363">
        <v>0</v>
      </c>
    </row>
    <row r="409" spans="1:19" s="355" customFormat="1" ht="71.25" customHeight="1">
      <c r="A409" s="460" t="s">
        <v>1118</v>
      </c>
      <c r="B409" s="473" t="s">
        <v>572</v>
      </c>
      <c r="C409" s="470"/>
      <c r="D409" s="470"/>
      <c r="E409" s="470"/>
      <c r="F409" s="470"/>
      <c r="G409" s="470"/>
      <c r="H409" s="477"/>
      <c r="I409" s="33" t="s">
        <v>1033</v>
      </c>
      <c r="J409" s="33" t="s">
        <v>197</v>
      </c>
      <c r="K409" s="39" t="s">
        <v>950</v>
      </c>
      <c r="L409" s="237" t="s">
        <v>63</v>
      </c>
      <c r="M409" s="237" t="s">
        <v>71</v>
      </c>
      <c r="N409" s="276">
        <v>389.9957</v>
      </c>
      <c r="O409" s="276">
        <v>389.9957</v>
      </c>
      <c r="P409" s="282">
        <v>0</v>
      </c>
      <c r="Q409" s="282">
        <v>0</v>
      </c>
      <c r="R409" s="282">
        <v>0</v>
      </c>
      <c r="S409" s="282">
        <v>0</v>
      </c>
    </row>
    <row r="410" spans="1:19" s="355" customFormat="1" ht="60">
      <c r="A410" s="455"/>
      <c r="B410" s="474"/>
      <c r="C410" s="472"/>
      <c r="D410" s="472"/>
      <c r="E410" s="472"/>
      <c r="F410" s="472"/>
      <c r="G410" s="472"/>
      <c r="H410" s="478"/>
      <c r="I410" s="3" t="s">
        <v>1014</v>
      </c>
      <c r="J410" s="3" t="s">
        <v>197</v>
      </c>
      <c r="K410" s="28" t="s">
        <v>975</v>
      </c>
      <c r="L410" s="249"/>
      <c r="M410" s="249"/>
      <c r="N410" s="327"/>
      <c r="O410" s="327"/>
      <c r="P410" s="326"/>
      <c r="Q410" s="326"/>
      <c r="R410" s="326"/>
      <c r="S410" s="282">
        <v>0</v>
      </c>
    </row>
    <row r="411" spans="1:19" s="355" customFormat="1" ht="60">
      <c r="A411" s="193" t="s">
        <v>1119</v>
      </c>
      <c r="B411" s="300" t="s">
        <v>609</v>
      </c>
      <c r="C411" s="193"/>
      <c r="D411" s="193"/>
      <c r="E411" s="193"/>
      <c r="F411" s="193"/>
      <c r="G411" s="193"/>
      <c r="H411" s="193"/>
      <c r="I411" s="4" t="s">
        <v>992</v>
      </c>
      <c r="J411" s="4" t="s">
        <v>197</v>
      </c>
      <c r="K411" s="27" t="s">
        <v>975</v>
      </c>
      <c r="L411" s="208" t="s">
        <v>63</v>
      </c>
      <c r="M411" s="208" t="s">
        <v>71</v>
      </c>
      <c r="N411" s="363">
        <v>30.016</v>
      </c>
      <c r="O411" s="363">
        <v>30.016</v>
      </c>
      <c r="P411" s="363">
        <v>0</v>
      </c>
      <c r="Q411" s="363">
        <v>0</v>
      </c>
      <c r="R411" s="363">
        <v>0</v>
      </c>
      <c r="S411" s="282">
        <v>0</v>
      </c>
    </row>
    <row r="412" spans="1:19" s="355" customFormat="1" ht="84">
      <c r="A412" s="193" t="s">
        <v>1120</v>
      </c>
      <c r="B412" s="300" t="s">
        <v>573</v>
      </c>
      <c r="C412" s="193"/>
      <c r="D412" s="193"/>
      <c r="E412" s="193"/>
      <c r="F412" s="193"/>
      <c r="G412" s="193"/>
      <c r="H412" s="193"/>
      <c r="I412" s="33" t="s">
        <v>1058</v>
      </c>
      <c r="J412" s="33" t="s">
        <v>197</v>
      </c>
      <c r="K412" s="39" t="s">
        <v>1059</v>
      </c>
      <c r="L412" s="254" t="s">
        <v>63</v>
      </c>
      <c r="M412" s="254" t="s">
        <v>71</v>
      </c>
      <c r="N412" s="282">
        <v>250</v>
      </c>
      <c r="O412" s="282">
        <v>250</v>
      </c>
      <c r="P412" s="282">
        <v>0</v>
      </c>
      <c r="Q412" s="282">
        <v>0</v>
      </c>
      <c r="R412" s="282">
        <v>0</v>
      </c>
      <c r="S412" s="264"/>
    </row>
    <row r="413" spans="1:19" s="355" customFormat="1" ht="48">
      <c r="A413" s="193" t="s">
        <v>1121</v>
      </c>
      <c r="B413" s="300" t="s">
        <v>574</v>
      </c>
      <c r="C413" s="193"/>
      <c r="D413" s="193"/>
      <c r="E413" s="193"/>
      <c r="F413" s="193"/>
      <c r="G413" s="193"/>
      <c r="H413" s="193"/>
      <c r="I413" s="33" t="s">
        <v>993</v>
      </c>
      <c r="J413" s="33" t="s">
        <v>197</v>
      </c>
      <c r="K413" s="39" t="s">
        <v>975</v>
      </c>
      <c r="L413" s="254" t="s">
        <v>63</v>
      </c>
      <c r="M413" s="254" t="s">
        <v>71</v>
      </c>
      <c r="N413" s="282">
        <v>300</v>
      </c>
      <c r="O413" s="282">
        <v>300</v>
      </c>
      <c r="P413" s="282">
        <v>0</v>
      </c>
      <c r="Q413" s="282">
        <v>0</v>
      </c>
      <c r="R413" s="282">
        <v>0</v>
      </c>
      <c r="S413" s="282">
        <v>0</v>
      </c>
    </row>
    <row r="414" spans="1:21" s="355" customFormat="1" ht="60">
      <c r="A414" s="193" t="s">
        <v>1122</v>
      </c>
      <c r="B414" s="300" t="s">
        <v>576</v>
      </c>
      <c r="C414" s="193"/>
      <c r="D414" s="193"/>
      <c r="E414" s="193"/>
      <c r="F414" s="193"/>
      <c r="G414" s="193"/>
      <c r="H414" s="193"/>
      <c r="I414" s="33" t="s">
        <v>1028</v>
      </c>
      <c r="J414" s="33" t="s">
        <v>197</v>
      </c>
      <c r="K414" s="39" t="s">
        <v>1026</v>
      </c>
      <c r="L414" s="254" t="s">
        <v>69</v>
      </c>
      <c r="M414" s="254" t="s">
        <v>58</v>
      </c>
      <c r="N414" s="282">
        <v>304.1</v>
      </c>
      <c r="O414" s="282">
        <v>304.1</v>
      </c>
      <c r="P414" s="282">
        <v>0</v>
      </c>
      <c r="Q414" s="282">
        <v>0</v>
      </c>
      <c r="R414" s="282">
        <v>0</v>
      </c>
      <c r="S414" s="366">
        <v>0</v>
      </c>
      <c r="T414" s="356"/>
      <c r="U414" s="356"/>
    </row>
    <row r="415" spans="1:21" s="355" customFormat="1" ht="72">
      <c r="A415" s="193" t="s">
        <v>1140</v>
      </c>
      <c r="B415" s="300" t="s">
        <v>1141</v>
      </c>
      <c r="C415" s="193"/>
      <c r="D415" s="193"/>
      <c r="E415" s="193"/>
      <c r="F415" s="193"/>
      <c r="G415" s="193"/>
      <c r="H415" s="193"/>
      <c r="I415" s="33" t="s">
        <v>1142</v>
      </c>
      <c r="J415" s="33" t="s">
        <v>197</v>
      </c>
      <c r="K415" s="39" t="s">
        <v>1143</v>
      </c>
      <c r="L415" s="254" t="s">
        <v>63</v>
      </c>
      <c r="M415" s="254" t="s">
        <v>71</v>
      </c>
      <c r="N415" s="282">
        <v>0</v>
      </c>
      <c r="O415" s="282">
        <v>0</v>
      </c>
      <c r="P415" s="282">
        <v>379.586</v>
      </c>
      <c r="Q415" s="282">
        <v>0</v>
      </c>
      <c r="R415" s="282">
        <v>0</v>
      </c>
      <c r="S415" s="419"/>
      <c r="T415" s="356"/>
      <c r="U415" s="356"/>
    </row>
    <row r="416" spans="1:21" s="355" customFormat="1" ht="36" hidden="1">
      <c r="A416" s="193" t="s">
        <v>1188</v>
      </c>
      <c r="B416" s="300"/>
      <c r="C416" s="193"/>
      <c r="D416" s="193"/>
      <c r="E416" s="193"/>
      <c r="F416" s="193"/>
      <c r="G416" s="193"/>
      <c r="H416" s="193"/>
      <c r="I416" s="33" t="s">
        <v>1238</v>
      </c>
      <c r="J416" s="33"/>
      <c r="K416" s="39"/>
      <c r="L416" s="254" t="s">
        <v>63</v>
      </c>
      <c r="M416" s="254" t="s">
        <v>71</v>
      </c>
      <c r="N416" s="282">
        <v>0</v>
      </c>
      <c r="O416" s="282">
        <v>0</v>
      </c>
      <c r="P416" s="282"/>
      <c r="Q416" s="282">
        <v>0</v>
      </c>
      <c r="R416" s="282">
        <v>0</v>
      </c>
      <c r="S416" s="419"/>
      <c r="T416" s="356"/>
      <c r="U416" s="356"/>
    </row>
    <row r="417" spans="1:21" s="355" customFormat="1" ht="24">
      <c r="A417" s="162" t="s">
        <v>709</v>
      </c>
      <c r="B417" s="300"/>
      <c r="C417" s="193"/>
      <c r="D417" s="193"/>
      <c r="E417" s="193"/>
      <c r="F417" s="193"/>
      <c r="G417" s="193"/>
      <c r="H417" s="193"/>
      <c r="I417" s="33"/>
      <c r="J417" s="33"/>
      <c r="K417" s="39"/>
      <c r="L417" s="187"/>
      <c r="M417" s="187"/>
      <c r="N417" s="282"/>
      <c r="O417" s="282"/>
      <c r="P417" s="193"/>
      <c r="Q417" s="193"/>
      <c r="R417" s="193"/>
      <c r="S417" s="367">
        <v>0</v>
      </c>
      <c r="T417" s="356"/>
      <c r="U417" s="356"/>
    </row>
    <row r="418" spans="1:21" s="355" customFormat="1" ht="60">
      <c r="A418" s="193" t="s">
        <v>1123</v>
      </c>
      <c r="B418" s="300" t="s">
        <v>256</v>
      </c>
      <c r="C418" s="193"/>
      <c r="D418" s="193"/>
      <c r="E418" s="193"/>
      <c r="F418" s="193"/>
      <c r="G418" s="193"/>
      <c r="H418" s="193"/>
      <c r="I418" s="33" t="s">
        <v>855</v>
      </c>
      <c r="J418" s="33" t="s">
        <v>197</v>
      </c>
      <c r="K418" s="39" t="s">
        <v>848</v>
      </c>
      <c r="L418" s="254" t="s">
        <v>63</v>
      </c>
      <c r="M418" s="254" t="s">
        <v>71</v>
      </c>
      <c r="N418" s="282">
        <v>90.52</v>
      </c>
      <c r="O418" s="282">
        <v>90.52</v>
      </c>
      <c r="P418" s="282">
        <v>0</v>
      </c>
      <c r="Q418" s="282">
        <v>0</v>
      </c>
      <c r="R418" s="282">
        <v>0</v>
      </c>
      <c r="S418" s="201"/>
      <c r="T418" s="356"/>
      <c r="U418" s="356"/>
    </row>
    <row r="419" spans="1:19" s="356" customFormat="1" ht="243.75" customHeight="1">
      <c r="A419" s="234" t="s">
        <v>1029</v>
      </c>
      <c r="B419" s="351" t="s">
        <v>1203</v>
      </c>
      <c r="C419" s="234"/>
      <c r="D419" s="234"/>
      <c r="E419" s="234"/>
      <c r="F419" s="234"/>
      <c r="G419" s="234"/>
      <c r="H419" s="234"/>
      <c r="I419" s="37" t="s">
        <v>1231</v>
      </c>
      <c r="J419" s="37" t="s">
        <v>197</v>
      </c>
      <c r="K419" s="49" t="s">
        <v>1232</v>
      </c>
      <c r="L419" s="322" t="s">
        <v>65</v>
      </c>
      <c r="M419" s="322" t="s">
        <v>48</v>
      </c>
      <c r="N419" s="366">
        <v>3350</v>
      </c>
      <c r="O419" s="366">
        <v>0</v>
      </c>
      <c r="P419" s="366">
        <v>2515.85015</v>
      </c>
      <c r="Q419" s="366">
        <v>0</v>
      </c>
      <c r="R419" s="366">
        <v>0</v>
      </c>
      <c r="S419" s="295"/>
    </row>
    <row r="420" spans="1:19" s="356" customFormat="1" ht="72">
      <c r="A420" s="201" t="s">
        <v>161</v>
      </c>
      <c r="B420" s="201" t="s">
        <v>983</v>
      </c>
      <c r="C420" s="201" t="s">
        <v>57</v>
      </c>
      <c r="D420" s="201" t="s">
        <v>57</v>
      </c>
      <c r="E420" s="201" t="s">
        <v>57</v>
      </c>
      <c r="F420" s="201" t="s">
        <v>57</v>
      </c>
      <c r="G420" s="201" t="s">
        <v>57</v>
      </c>
      <c r="H420" s="201" t="s">
        <v>57</v>
      </c>
      <c r="I420" s="17" t="s">
        <v>612</v>
      </c>
      <c r="J420" s="17" t="s">
        <v>197</v>
      </c>
      <c r="K420" s="18" t="s">
        <v>613</v>
      </c>
      <c r="L420" s="202" t="s">
        <v>65</v>
      </c>
      <c r="M420" s="202" t="s">
        <v>63</v>
      </c>
      <c r="N420" s="349">
        <v>40</v>
      </c>
      <c r="O420" s="349">
        <v>40</v>
      </c>
      <c r="P420" s="367">
        <v>0</v>
      </c>
      <c r="Q420" s="367">
        <v>0</v>
      </c>
      <c r="R420" s="367">
        <v>0</v>
      </c>
      <c r="S420" s="410">
        <v>0</v>
      </c>
    </row>
    <row r="421" spans="1:21" s="356" customFormat="1" ht="72">
      <c r="A421" s="201"/>
      <c r="B421" s="201"/>
      <c r="C421" s="201"/>
      <c r="D421" s="201"/>
      <c r="E421" s="201"/>
      <c r="F421" s="201"/>
      <c r="G421" s="201"/>
      <c r="H421" s="201"/>
      <c r="I421" s="17" t="s">
        <v>984</v>
      </c>
      <c r="J421" s="17" t="s">
        <v>197</v>
      </c>
      <c r="K421" s="18" t="s">
        <v>1010</v>
      </c>
      <c r="L421" s="202"/>
      <c r="M421" s="202"/>
      <c r="N421" s="201"/>
      <c r="O421" s="201"/>
      <c r="P421" s="201"/>
      <c r="Q421" s="201"/>
      <c r="R421" s="201"/>
      <c r="S421" s="82"/>
      <c r="T421" s="355"/>
      <c r="U421" s="355"/>
    </row>
    <row r="422" spans="1:21" s="356" customFormat="1" ht="84">
      <c r="A422" s="295"/>
      <c r="B422" s="295"/>
      <c r="C422" s="295"/>
      <c r="D422" s="295"/>
      <c r="E422" s="295"/>
      <c r="F422" s="295"/>
      <c r="G422" s="295"/>
      <c r="H422" s="295"/>
      <c r="I422" s="141" t="s">
        <v>823</v>
      </c>
      <c r="J422" s="141" t="s">
        <v>197</v>
      </c>
      <c r="K422" s="142" t="s">
        <v>296</v>
      </c>
      <c r="L422" s="228"/>
      <c r="M422" s="228"/>
      <c r="N422" s="295"/>
      <c r="O422" s="295"/>
      <c r="P422" s="295"/>
      <c r="Q422" s="295"/>
      <c r="R422" s="295"/>
      <c r="S422" s="210">
        <v>53273.3</v>
      </c>
      <c r="T422" s="355"/>
      <c r="U422" s="355"/>
    </row>
    <row r="423" spans="1:19" s="356" customFormat="1" ht="84">
      <c r="A423" s="201" t="s">
        <v>617</v>
      </c>
      <c r="B423" s="201" t="s">
        <v>618</v>
      </c>
      <c r="C423" s="201"/>
      <c r="D423" s="201"/>
      <c r="E423" s="201"/>
      <c r="F423" s="201"/>
      <c r="G423" s="201"/>
      <c r="H423" s="201"/>
      <c r="I423" s="4" t="s">
        <v>880</v>
      </c>
      <c r="J423" s="4" t="s">
        <v>197</v>
      </c>
      <c r="K423" s="27" t="s">
        <v>730</v>
      </c>
      <c r="L423" s="336" t="s">
        <v>63</v>
      </c>
      <c r="M423" s="336" t="s">
        <v>58</v>
      </c>
      <c r="N423" s="367">
        <v>1800</v>
      </c>
      <c r="O423" s="367">
        <v>1800</v>
      </c>
      <c r="P423" s="367">
        <v>0</v>
      </c>
      <c r="Q423" s="367">
        <v>0</v>
      </c>
      <c r="R423" s="367">
        <v>0</v>
      </c>
      <c r="S423" s="324"/>
    </row>
    <row r="424" spans="1:21" s="355" customFormat="1" ht="60">
      <c r="A424" s="498" t="s">
        <v>824</v>
      </c>
      <c r="B424" s="235" t="s">
        <v>825</v>
      </c>
      <c r="C424" s="143"/>
      <c r="D424" s="143"/>
      <c r="E424" s="143"/>
      <c r="F424" s="143"/>
      <c r="G424" s="143"/>
      <c r="H424" s="143"/>
      <c r="I424" s="143" t="s">
        <v>804</v>
      </c>
      <c r="J424" s="143" t="s">
        <v>197</v>
      </c>
      <c r="K424" s="143" t="s">
        <v>805</v>
      </c>
      <c r="L424" s="187"/>
      <c r="M424" s="187"/>
      <c r="N424" s="82"/>
      <c r="O424" s="82"/>
      <c r="P424" s="82"/>
      <c r="Q424" s="82"/>
      <c r="R424" s="82"/>
      <c r="S424" s="165">
        <f>SUM(S425:S427)</f>
        <v>0</v>
      </c>
      <c r="T424" s="356"/>
      <c r="U424" s="356"/>
    </row>
    <row r="425" spans="1:19" s="355" customFormat="1" ht="60">
      <c r="A425" s="499"/>
      <c r="B425" s="228"/>
      <c r="C425" s="161"/>
      <c r="D425" s="161"/>
      <c r="E425" s="161"/>
      <c r="F425" s="161"/>
      <c r="G425" s="161"/>
      <c r="H425" s="161"/>
      <c r="I425" s="112" t="s">
        <v>546</v>
      </c>
      <c r="J425" s="113" t="s">
        <v>197</v>
      </c>
      <c r="K425" s="113" t="s">
        <v>547</v>
      </c>
      <c r="L425" s="161" t="s">
        <v>50</v>
      </c>
      <c r="M425" s="161" t="s">
        <v>71</v>
      </c>
      <c r="N425" s="210">
        <v>49643.6</v>
      </c>
      <c r="O425" s="210">
        <v>49643.6</v>
      </c>
      <c r="P425" s="210">
        <v>52867.45462</v>
      </c>
      <c r="Q425" s="210">
        <v>53273.3</v>
      </c>
      <c r="R425" s="210">
        <v>53273.3</v>
      </c>
      <c r="S425" s="83">
        <v>0</v>
      </c>
    </row>
    <row r="426" spans="1:21" s="356" customFormat="1" ht="108" customHeight="1" hidden="1">
      <c r="A426" s="201" t="s">
        <v>28</v>
      </c>
      <c r="B426" s="201" t="s">
        <v>614</v>
      </c>
      <c r="C426" s="201" t="s">
        <v>57</v>
      </c>
      <c r="D426" s="201" t="s">
        <v>57</v>
      </c>
      <c r="E426" s="201" t="s">
        <v>57</v>
      </c>
      <c r="F426" s="201" t="s">
        <v>57</v>
      </c>
      <c r="G426" s="201" t="s">
        <v>57</v>
      </c>
      <c r="H426" s="201" t="s">
        <v>57</v>
      </c>
      <c r="I426" s="4" t="s">
        <v>615</v>
      </c>
      <c r="J426" s="4" t="s">
        <v>197</v>
      </c>
      <c r="K426" s="27" t="s">
        <v>563</v>
      </c>
      <c r="L426" s="202" t="s">
        <v>63</v>
      </c>
      <c r="M426" s="202" t="s">
        <v>64</v>
      </c>
      <c r="N426" s="201"/>
      <c r="O426" s="201"/>
      <c r="P426" s="201"/>
      <c r="Q426" s="201"/>
      <c r="R426" s="201"/>
      <c r="S426" s="83"/>
      <c r="T426" s="355"/>
      <c r="U426" s="355"/>
    </row>
    <row r="427" spans="1:21" s="356" customFormat="1" ht="12.75" customHeight="1">
      <c r="A427" s="162" t="s">
        <v>162</v>
      </c>
      <c r="B427" s="226">
        <v>1941</v>
      </c>
      <c r="C427" s="162" t="s">
        <v>57</v>
      </c>
      <c r="D427" s="162" t="s">
        <v>57</v>
      </c>
      <c r="E427" s="162" t="s">
        <v>57</v>
      </c>
      <c r="F427" s="162" t="s">
        <v>57</v>
      </c>
      <c r="G427" s="162" t="s">
        <v>57</v>
      </c>
      <c r="H427" s="162" t="s">
        <v>57</v>
      </c>
      <c r="I427" s="162" t="s">
        <v>57</v>
      </c>
      <c r="J427" s="162" t="s">
        <v>57</v>
      </c>
      <c r="K427" s="260" t="s">
        <v>57</v>
      </c>
      <c r="L427" s="163" t="s">
        <v>46</v>
      </c>
      <c r="M427" s="163" t="s">
        <v>65</v>
      </c>
      <c r="N427" s="165">
        <f>SUM(N428:N430)</f>
        <v>7900.362999999999</v>
      </c>
      <c r="O427" s="165">
        <f>SUM(O428:O430)</f>
        <v>7900.362999999999</v>
      </c>
      <c r="P427" s="165">
        <f>SUM(P428:P430)</f>
        <v>615.85848</v>
      </c>
      <c r="Q427" s="165">
        <f>SUM(Q428:Q430)</f>
        <v>0</v>
      </c>
      <c r="R427" s="165">
        <f>SUM(R428:R430)</f>
        <v>0</v>
      </c>
      <c r="S427" s="83">
        <v>0</v>
      </c>
      <c r="T427" s="355"/>
      <c r="U427" s="355"/>
    </row>
    <row r="428" spans="1:19" s="355" customFormat="1" ht="47.25" customHeight="1">
      <c r="A428" s="177"/>
      <c r="B428" s="300" t="s">
        <v>619</v>
      </c>
      <c r="C428" s="470" t="s">
        <v>704</v>
      </c>
      <c r="D428" s="470" t="s">
        <v>410</v>
      </c>
      <c r="E428" s="470" t="s">
        <v>411</v>
      </c>
      <c r="F428" s="470" t="s">
        <v>869</v>
      </c>
      <c r="G428" s="470" t="s">
        <v>870</v>
      </c>
      <c r="H428" s="482" t="s">
        <v>871</v>
      </c>
      <c r="I428" s="429" t="s">
        <v>412</v>
      </c>
      <c r="J428" s="424" t="s">
        <v>197</v>
      </c>
      <c r="K428" s="425" t="s">
        <v>413</v>
      </c>
      <c r="L428" s="195"/>
      <c r="M428" s="195"/>
      <c r="N428" s="82">
        <v>5730.013</v>
      </c>
      <c r="O428" s="82">
        <v>5730.013</v>
      </c>
      <c r="P428" s="82">
        <v>615.85848</v>
      </c>
      <c r="Q428" s="82">
        <v>0</v>
      </c>
      <c r="R428" s="82">
        <v>0</v>
      </c>
      <c r="S428" s="83"/>
    </row>
    <row r="429" spans="1:19" s="355" customFormat="1" ht="62.25" customHeight="1" hidden="1">
      <c r="A429" s="177"/>
      <c r="B429" s="215" t="s">
        <v>620</v>
      </c>
      <c r="C429" s="471"/>
      <c r="D429" s="471"/>
      <c r="E429" s="471"/>
      <c r="F429" s="471"/>
      <c r="G429" s="471"/>
      <c r="H429" s="483"/>
      <c r="I429" s="430"/>
      <c r="J429" s="255"/>
      <c r="K429" s="426"/>
      <c r="L429" s="195"/>
      <c r="M429" s="195"/>
      <c r="N429" s="82"/>
      <c r="O429" s="82"/>
      <c r="P429" s="82"/>
      <c r="Q429" s="82"/>
      <c r="R429" s="82"/>
      <c r="S429" s="337" t="e">
        <f>S6</f>
        <v>#REF!</v>
      </c>
    </row>
    <row r="430" spans="1:21" s="355" customFormat="1" ht="63.75" customHeight="1">
      <c r="A430" s="185"/>
      <c r="B430" s="288" t="s">
        <v>257</v>
      </c>
      <c r="C430" s="472"/>
      <c r="D430" s="472"/>
      <c r="E430" s="472"/>
      <c r="F430" s="472"/>
      <c r="G430" s="472"/>
      <c r="H430" s="478"/>
      <c r="I430" s="431" t="s">
        <v>1220</v>
      </c>
      <c r="J430" s="427" t="s">
        <v>197</v>
      </c>
      <c r="K430" s="428" t="s">
        <v>1221</v>
      </c>
      <c r="L430" s="161"/>
      <c r="M430" s="161"/>
      <c r="N430" s="82">
        <v>2170.35</v>
      </c>
      <c r="O430" s="82">
        <v>2170.35</v>
      </c>
      <c r="P430" s="82">
        <v>0</v>
      </c>
      <c r="Q430" s="82">
        <v>0</v>
      </c>
      <c r="R430" s="82">
        <v>0</v>
      </c>
      <c r="S430" s="134"/>
      <c r="T430" s="354"/>
      <c r="U430" s="354"/>
    </row>
    <row r="431" spans="1:21" s="355" customFormat="1" ht="18.75">
      <c r="A431" s="193"/>
      <c r="B431" s="193"/>
      <c r="C431" s="193"/>
      <c r="D431" s="193"/>
      <c r="E431" s="193"/>
      <c r="F431" s="193"/>
      <c r="G431" s="193"/>
      <c r="H431" s="193"/>
      <c r="I431" s="177"/>
      <c r="J431" s="177"/>
      <c r="K431" s="177"/>
      <c r="L431" s="187"/>
      <c r="M431" s="187"/>
      <c r="N431" s="82"/>
      <c r="O431" s="82"/>
      <c r="P431" s="82"/>
      <c r="Q431" s="82"/>
      <c r="R431" s="82"/>
      <c r="S431" s="125"/>
      <c r="T431" s="354"/>
      <c r="U431" s="354"/>
    </row>
    <row r="432" spans="1:21" s="355" customFormat="1" ht="23.25" customHeight="1">
      <c r="A432" s="328" t="s">
        <v>163</v>
      </c>
      <c r="B432" s="328" t="s">
        <v>164</v>
      </c>
      <c r="C432" s="158" t="s">
        <v>53</v>
      </c>
      <c r="D432" s="158" t="s">
        <v>53</v>
      </c>
      <c r="E432" s="158" t="s">
        <v>53</v>
      </c>
      <c r="F432" s="158" t="s">
        <v>53</v>
      </c>
      <c r="G432" s="158" t="s">
        <v>53</v>
      </c>
      <c r="H432" s="158" t="s">
        <v>53</v>
      </c>
      <c r="I432" s="158" t="s">
        <v>53</v>
      </c>
      <c r="J432" s="158" t="s">
        <v>53</v>
      </c>
      <c r="K432" s="158" t="s">
        <v>53</v>
      </c>
      <c r="L432" s="158"/>
      <c r="M432" s="158"/>
      <c r="N432" s="337">
        <f>N6</f>
        <v>1445757.50074</v>
      </c>
      <c r="O432" s="337">
        <f>O6</f>
        <v>1423512.4848</v>
      </c>
      <c r="P432" s="337">
        <f>P6</f>
        <v>1454747.05291</v>
      </c>
      <c r="Q432" s="337">
        <f>Q6</f>
        <v>1196796.3</v>
      </c>
      <c r="R432" s="337">
        <f>R6</f>
        <v>1178001.1</v>
      </c>
      <c r="S432" s="135"/>
      <c r="T432" s="359"/>
      <c r="U432" s="359"/>
    </row>
  </sheetData>
  <sheetProtection/>
  <mergeCells count="241">
    <mergeCell ref="I283:I284"/>
    <mergeCell ref="C248:C252"/>
    <mergeCell ref="F225:F227"/>
    <mergeCell ref="N3:O3"/>
    <mergeCell ref="C171:C173"/>
    <mergeCell ref="G79:G80"/>
    <mergeCell ref="H79:H80"/>
    <mergeCell ref="G77:G78"/>
    <mergeCell ref="K73:K74"/>
    <mergeCell ref="D73:D74"/>
    <mergeCell ref="N2:S2"/>
    <mergeCell ref="F92:F93"/>
    <mergeCell ref="J106:J107"/>
    <mergeCell ref="K106:K107"/>
    <mergeCell ref="G223:G224"/>
    <mergeCell ref="F171:F173"/>
    <mergeCell ref="F133:F134"/>
    <mergeCell ref="J73:J74"/>
    <mergeCell ref="F79:F80"/>
    <mergeCell ref="K214:K215"/>
    <mergeCell ref="A228:A231"/>
    <mergeCell ref="D248:D252"/>
    <mergeCell ref="E248:E252"/>
    <mergeCell ref="E280:E282"/>
    <mergeCell ref="E225:E227"/>
    <mergeCell ref="D280:D282"/>
    <mergeCell ref="A424:A425"/>
    <mergeCell ref="F73:F74"/>
    <mergeCell ref="I73:I74"/>
    <mergeCell ref="E164:E167"/>
    <mergeCell ref="D75:D76"/>
    <mergeCell ref="H73:H74"/>
    <mergeCell ref="F149:F150"/>
    <mergeCell ref="I75:I76"/>
    <mergeCell ref="I133:I134"/>
    <mergeCell ref="I120:I121"/>
    <mergeCell ref="A395:A396"/>
    <mergeCell ref="E75:E76"/>
    <mergeCell ref="G73:G74"/>
    <mergeCell ref="B69:B71"/>
    <mergeCell ref="D69:D71"/>
    <mergeCell ref="C307:C308"/>
    <mergeCell ref="C192:C193"/>
    <mergeCell ref="C215:C216"/>
    <mergeCell ref="E192:E193"/>
    <mergeCell ref="A180:A182"/>
    <mergeCell ref="C73:C74"/>
    <mergeCell ref="I228:I231"/>
    <mergeCell ref="F281:F282"/>
    <mergeCell ref="F246:F247"/>
    <mergeCell ref="F164:F167"/>
    <mergeCell ref="G171:G173"/>
    <mergeCell ref="D164:D167"/>
    <mergeCell ref="E211:E212"/>
    <mergeCell ref="F211:F212"/>
    <mergeCell ref="G192:G193"/>
    <mergeCell ref="C110:C112"/>
    <mergeCell ref="C164:C167"/>
    <mergeCell ref="D171:D173"/>
    <mergeCell ref="C211:C212"/>
    <mergeCell ref="D211:D212"/>
    <mergeCell ref="C225:C227"/>
    <mergeCell ref="D225:D227"/>
    <mergeCell ref="D192:D193"/>
    <mergeCell ref="A288:A290"/>
    <mergeCell ref="A291:A292"/>
    <mergeCell ref="A283:A284"/>
    <mergeCell ref="A280:A282"/>
    <mergeCell ref="C280:C282"/>
    <mergeCell ref="C286:C287"/>
    <mergeCell ref="B77:B78"/>
    <mergeCell ref="A77:A78"/>
    <mergeCell ref="A75:A76"/>
    <mergeCell ref="B75:B76"/>
    <mergeCell ref="C75:C76"/>
    <mergeCell ref="H307:H308"/>
    <mergeCell ref="G307:G308"/>
    <mergeCell ref="F307:F308"/>
    <mergeCell ref="E307:E308"/>
    <mergeCell ref="G211:G212"/>
    <mergeCell ref="F27:F28"/>
    <mergeCell ref="A27:A29"/>
    <mergeCell ref="B27:B29"/>
    <mergeCell ref="C27:C28"/>
    <mergeCell ref="D27:D28"/>
    <mergeCell ref="A69:A71"/>
    <mergeCell ref="E54:E55"/>
    <mergeCell ref="D60:D61"/>
    <mergeCell ref="E27:E28"/>
    <mergeCell ref="E60:E61"/>
    <mergeCell ref="B2:B4"/>
    <mergeCell ref="H27:H28"/>
    <mergeCell ref="G27:G28"/>
    <mergeCell ref="G69:G71"/>
    <mergeCell ref="H69:H71"/>
    <mergeCell ref="F54:F55"/>
    <mergeCell ref="C54:C55"/>
    <mergeCell ref="C60:C61"/>
    <mergeCell ref="D54:D55"/>
    <mergeCell ref="E69:E71"/>
    <mergeCell ref="A1:S1"/>
    <mergeCell ref="C2:K2"/>
    <mergeCell ref="C3:E3"/>
    <mergeCell ref="I3:K3"/>
    <mergeCell ref="R3:S3"/>
    <mergeCell ref="F3:H3"/>
    <mergeCell ref="A2:A4"/>
    <mergeCell ref="L2:M3"/>
    <mergeCell ref="P3:P4"/>
    <mergeCell ref="Q3:Q4"/>
    <mergeCell ref="E171:E173"/>
    <mergeCell ref="G283:G284"/>
    <mergeCell ref="H283:H284"/>
    <mergeCell ref="H248:H252"/>
    <mergeCell ref="F248:F252"/>
    <mergeCell ref="G248:G252"/>
    <mergeCell ref="F183:F184"/>
    <mergeCell ref="F192:F193"/>
    <mergeCell ref="F196:F201"/>
    <mergeCell ref="G196:G201"/>
    <mergeCell ref="H192:H193"/>
    <mergeCell ref="I214:I215"/>
    <mergeCell ref="I169:I170"/>
    <mergeCell ref="J169:J170"/>
    <mergeCell ref="H196:H201"/>
    <mergeCell ref="H171:H173"/>
    <mergeCell ref="J214:J215"/>
    <mergeCell ref="I211:I212"/>
    <mergeCell ref="H211:H212"/>
    <mergeCell ref="J228:J231"/>
    <mergeCell ref="J283:J284"/>
    <mergeCell ref="K223:K224"/>
    <mergeCell ref="K211:K212"/>
    <mergeCell ref="C196:C201"/>
    <mergeCell ref="D196:D201"/>
    <mergeCell ref="E196:E201"/>
    <mergeCell ref="I223:I224"/>
    <mergeCell ref="J223:J224"/>
    <mergeCell ref="E283:E284"/>
    <mergeCell ref="F94:F96"/>
    <mergeCell ref="M161:M162"/>
    <mergeCell ref="L161:L162"/>
    <mergeCell ref="K172:K173"/>
    <mergeCell ref="K169:K170"/>
    <mergeCell ref="K133:K134"/>
    <mergeCell ref="H164:H167"/>
    <mergeCell ref="M135:M136"/>
    <mergeCell ref="K108:K109"/>
    <mergeCell ref="A41:A43"/>
    <mergeCell ref="F69:F71"/>
    <mergeCell ref="F125:F126"/>
    <mergeCell ref="A73:A74"/>
    <mergeCell ref="E73:E74"/>
    <mergeCell ref="E86:E87"/>
    <mergeCell ref="A86:A87"/>
    <mergeCell ref="A60:A61"/>
    <mergeCell ref="B60:B61"/>
    <mergeCell ref="A125:A126"/>
    <mergeCell ref="S135:S136"/>
    <mergeCell ref="A278:A279"/>
    <mergeCell ref="I371:I373"/>
    <mergeCell ref="A371:A373"/>
    <mergeCell ref="J371:J373"/>
    <mergeCell ref="K371:K373"/>
    <mergeCell ref="D283:D284"/>
    <mergeCell ref="J286:J287"/>
    <mergeCell ref="C283:C284"/>
    <mergeCell ref="H223:H224"/>
    <mergeCell ref="J374:J375"/>
    <mergeCell ref="K374:K375"/>
    <mergeCell ref="G286:G287"/>
    <mergeCell ref="K286:K287"/>
    <mergeCell ref="R135:R136"/>
    <mergeCell ref="J172:J173"/>
    <mergeCell ref="J211:J212"/>
    <mergeCell ref="I188:I189"/>
    <mergeCell ref="I186:I187"/>
    <mergeCell ref="K283:K284"/>
    <mergeCell ref="E428:E430"/>
    <mergeCell ref="F428:F430"/>
    <mergeCell ref="D286:D287"/>
    <mergeCell ref="E286:E287"/>
    <mergeCell ref="F409:F410"/>
    <mergeCell ref="I374:I375"/>
    <mergeCell ref="H409:H410"/>
    <mergeCell ref="C131:C132"/>
    <mergeCell ref="D131:D132"/>
    <mergeCell ref="E131:E132"/>
    <mergeCell ref="G428:G430"/>
    <mergeCell ref="H428:H430"/>
    <mergeCell ref="F286:F287"/>
    <mergeCell ref="F283:F284"/>
    <mergeCell ref="G409:G410"/>
    <mergeCell ref="D428:D430"/>
    <mergeCell ref="I286:I287"/>
    <mergeCell ref="C428:C430"/>
    <mergeCell ref="Q135:Q136"/>
    <mergeCell ref="O135:O136"/>
    <mergeCell ref="A409:A410"/>
    <mergeCell ref="B409:B410"/>
    <mergeCell ref="C409:C410"/>
    <mergeCell ref="D409:D410"/>
    <mergeCell ref="E409:E410"/>
    <mergeCell ref="A374:A375"/>
    <mergeCell ref="N135:N136"/>
    <mergeCell ref="H286:H287"/>
    <mergeCell ref="F75:F76"/>
    <mergeCell ref="G75:G76"/>
    <mergeCell ref="H75:H76"/>
    <mergeCell ref="P135:P136"/>
    <mergeCell ref="J75:J76"/>
    <mergeCell ref="F77:F78"/>
    <mergeCell ref="I106:I107"/>
    <mergeCell ref="G133:G134"/>
    <mergeCell ref="A131:A134"/>
    <mergeCell ref="H77:H78"/>
    <mergeCell ref="I92:I93"/>
    <mergeCell ref="F84:F85"/>
    <mergeCell ref="I108:I109"/>
    <mergeCell ref="J108:J109"/>
    <mergeCell ref="H133:H134"/>
    <mergeCell ref="J133:J134"/>
    <mergeCell ref="C86:C87"/>
    <mergeCell ref="D86:D87"/>
    <mergeCell ref="A360:A361"/>
    <mergeCell ref="D307:D308"/>
    <mergeCell ref="A58:A59"/>
    <mergeCell ref="L135:L136"/>
    <mergeCell ref="K75:K76"/>
    <mergeCell ref="K228:K231"/>
    <mergeCell ref="A147:A148"/>
    <mergeCell ref="F223:F224"/>
    <mergeCell ref="G183:G184"/>
    <mergeCell ref="H183:H184"/>
    <mergeCell ref="J86:J87"/>
    <mergeCell ref="K86:K87"/>
    <mergeCell ref="G86:G87"/>
    <mergeCell ref="H86:H87"/>
    <mergeCell ref="I172:I173"/>
    <mergeCell ref="G164:G167"/>
    <mergeCell ref="I86:I87"/>
  </mergeCells>
  <printOptions/>
  <pageMargins left="0.15748031496062992" right="0" top="0.7874015748031497" bottom="0.6692913385826772" header="0.3937007874015748" footer="0.3937007874015748"/>
  <pageSetup horizontalDpi="600" verticalDpi="600" orientation="landscape" paperSize="9" scale="62" r:id="rId1"/>
  <headerFooter alignWithMargins="0">
    <oddFooter>&amp;L&amp;C&amp;"Arial"&amp;10&amp;P &amp;R</oddFooter>
  </headerFooter>
  <rowBreaks count="1" manualBreakCount="1">
    <brk id="422" max="19" man="1"/>
  </rowBreaks>
</worksheet>
</file>

<file path=xl/worksheets/sheet2.xml><?xml version="1.0" encoding="utf-8"?>
<worksheet xmlns="http://schemas.openxmlformats.org/spreadsheetml/2006/main" xmlns:r="http://schemas.openxmlformats.org/officeDocument/2006/relationships">
  <dimension ref="A2:BI39"/>
  <sheetViews>
    <sheetView zoomScalePageLayoutView="0" workbookViewId="0" topLeftCell="A1">
      <pane xSplit="1" ySplit="2" topLeftCell="N3" activePane="bottomRight" state="frozen"/>
      <selection pane="topLeft" activeCell="A1" sqref="A1"/>
      <selection pane="topRight" activeCell="B1" sqref="B1"/>
      <selection pane="bottomLeft" activeCell="A3" sqref="A3"/>
      <selection pane="bottomRight" activeCell="BI37" sqref="BI37"/>
    </sheetView>
  </sheetViews>
  <sheetFormatPr defaultColWidth="9.140625" defaultRowHeight="12.75"/>
  <cols>
    <col min="1" max="1" width="6.00390625" style="133" customWidth="1"/>
    <col min="2" max="2" width="6.00390625" style="127" hidden="1" customWidth="1"/>
    <col min="3" max="4" width="11.421875" style="127" customWidth="1"/>
    <col min="5" max="5" width="5.140625" style="127" customWidth="1"/>
    <col min="6" max="6" width="11.421875" style="127" customWidth="1"/>
    <col min="7" max="7" width="11.140625" style="127" customWidth="1"/>
    <col min="8" max="8" width="11.28125" style="127" customWidth="1"/>
    <col min="9" max="9" width="4.7109375" style="127" customWidth="1"/>
    <col min="10" max="10" width="12.7109375" style="127" customWidth="1"/>
    <col min="11" max="11" width="11.140625" style="127" customWidth="1"/>
    <col min="12" max="12" width="10.421875" style="127" customWidth="1"/>
    <col min="13" max="13" width="11.28125" style="127" customWidth="1"/>
    <col min="14" max="15" width="10.421875" style="127" customWidth="1"/>
    <col min="16" max="16" width="9.28125" style="127" customWidth="1"/>
    <col min="17" max="17" width="11.421875" style="127" customWidth="1"/>
    <col min="18" max="18" width="11.421875" style="0" customWidth="1"/>
    <col min="19" max="19" width="9.00390625" style="0" customWidth="1"/>
    <col min="20" max="20" width="11.8515625" style="0" customWidth="1"/>
    <col min="21" max="21" width="9.140625" style="0" customWidth="1"/>
    <col min="22" max="22" width="10.57421875" style="0" customWidth="1"/>
    <col min="23" max="23" width="10.7109375" style="0" customWidth="1"/>
    <col min="24" max="24" width="9.140625" style="0" customWidth="1"/>
    <col min="25" max="25" width="10.421875" style="0" customWidth="1"/>
    <col min="26" max="26" width="10.57421875" style="0" customWidth="1"/>
    <col min="27" max="28" width="9.28125" style="0" customWidth="1"/>
    <col min="29" max="30" width="9.28125" style="0" hidden="1" customWidth="1"/>
    <col min="31" max="31" width="10.421875" style="0" hidden="1" customWidth="1"/>
    <col min="32" max="32" width="12.7109375" style="0" hidden="1" customWidth="1"/>
    <col min="33" max="33" width="9.28125" style="0" hidden="1" customWidth="1"/>
    <col min="34" max="34" width="11.8515625" style="0" hidden="1" customWidth="1"/>
    <col min="35" max="35" width="11.7109375" style="0" hidden="1" customWidth="1"/>
    <col min="36" max="36" width="11.140625" style="0" hidden="1" customWidth="1"/>
    <col min="37" max="37" width="10.8515625" style="0" hidden="1" customWidth="1"/>
    <col min="38" max="38" width="7.28125" style="0" hidden="1" customWidth="1"/>
    <col min="39" max="40" width="9.28125" style="0" hidden="1" customWidth="1"/>
    <col min="41" max="41" width="8.28125" style="0" hidden="1" customWidth="1"/>
    <col min="42" max="42" width="9.140625" style="0" hidden="1" customWidth="1"/>
    <col min="43" max="43" width="8.140625" style="0" hidden="1" customWidth="1"/>
    <col min="44" max="44" width="11.421875" style="0" hidden="1" customWidth="1"/>
    <col min="45" max="45" width="10.57421875" style="0" hidden="1" customWidth="1"/>
    <col min="46" max="47" width="11.7109375" style="0" hidden="1" customWidth="1"/>
    <col min="48" max="48" width="11.57421875" style="0" customWidth="1"/>
    <col min="49" max="50" width="11.57421875" style="0" hidden="1" customWidth="1"/>
    <col min="51" max="52" width="10.421875" style="0" hidden="1" customWidth="1"/>
    <col min="53" max="54" width="9.140625" style="0" hidden="1" customWidth="1"/>
    <col min="55" max="58" width="10.421875" style="0" hidden="1" customWidth="1"/>
    <col min="59" max="59" width="11.7109375" style="0" hidden="1" customWidth="1"/>
    <col min="60" max="60" width="10.8515625" style="0" hidden="1" customWidth="1"/>
    <col min="61" max="61" width="14.7109375" style="0" customWidth="1"/>
  </cols>
  <sheetData>
    <row r="2" spans="1:61" s="130" customFormat="1" ht="12.75">
      <c r="A2" s="131"/>
      <c r="B2" s="129"/>
      <c r="C2" s="129" t="s">
        <v>754</v>
      </c>
      <c r="D2" s="129" t="s">
        <v>758</v>
      </c>
      <c r="E2" s="129" t="s">
        <v>62</v>
      </c>
      <c r="F2" s="129" t="s">
        <v>766</v>
      </c>
      <c r="G2" s="129" t="s">
        <v>68</v>
      </c>
      <c r="H2" s="129" t="s">
        <v>761</v>
      </c>
      <c r="I2" s="129" t="s">
        <v>74</v>
      </c>
      <c r="J2" s="129" t="s">
        <v>75</v>
      </c>
      <c r="K2" s="129" t="s">
        <v>79</v>
      </c>
      <c r="L2" s="129" t="s">
        <v>759</v>
      </c>
      <c r="M2" s="129" t="s">
        <v>82</v>
      </c>
      <c r="N2" s="129" t="s">
        <v>85</v>
      </c>
      <c r="O2" s="129" t="s">
        <v>87</v>
      </c>
      <c r="P2" s="129" t="s">
        <v>89</v>
      </c>
      <c r="Q2" s="129" t="s">
        <v>91</v>
      </c>
      <c r="R2" s="129" t="s">
        <v>750</v>
      </c>
      <c r="S2" s="129" t="s">
        <v>94</v>
      </c>
      <c r="T2" s="129" t="s">
        <v>95</v>
      </c>
      <c r="U2" s="129" t="s">
        <v>97</v>
      </c>
      <c r="V2" s="129" t="s">
        <v>99</v>
      </c>
      <c r="W2" s="129" t="s">
        <v>101</v>
      </c>
      <c r="X2" s="129" t="s">
        <v>106</v>
      </c>
      <c r="Y2" s="129" t="s">
        <v>109</v>
      </c>
      <c r="Z2" s="129" t="s">
        <v>111</v>
      </c>
      <c r="AA2" s="129" t="s">
        <v>115</v>
      </c>
      <c r="AB2" s="129" t="s">
        <v>117</v>
      </c>
      <c r="AC2" s="129" t="s">
        <v>122</v>
      </c>
      <c r="AD2" s="129" t="s">
        <v>124</v>
      </c>
      <c r="AE2" s="129" t="s">
        <v>125</v>
      </c>
      <c r="AF2" s="129" t="s">
        <v>126</v>
      </c>
      <c r="AG2" s="129" t="s">
        <v>127</v>
      </c>
      <c r="AH2" s="129" t="s">
        <v>129</v>
      </c>
      <c r="AI2" s="129" t="s">
        <v>130</v>
      </c>
      <c r="AJ2" s="129" t="s">
        <v>788</v>
      </c>
      <c r="AK2" s="129" t="s">
        <v>790</v>
      </c>
      <c r="AL2" s="129" t="s">
        <v>791</v>
      </c>
      <c r="AM2" s="129" t="s">
        <v>793</v>
      </c>
      <c r="AN2" s="129" t="s">
        <v>795</v>
      </c>
      <c r="AO2" s="129" t="s">
        <v>792</v>
      </c>
      <c r="AP2" s="129" t="s">
        <v>796</v>
      </c>
      <c r="AQ2" s="129" t="s">
        <v>789</v>
      </c>
      <c r="AR2" s="129" t="s">
        <v>787</v>
      </c>
      <c r="AS2" s="129" t="s">
        <v>780</v>
      </c>
      <c r="AT2" s="129" t="s">
        <v>832</v>
      </c>
      <c r="AU2" s="129" t="s">
        <v>996</v>
      </c>
      <c r="AV2" s="129" t="s">
        <v>147</v>
      </c>
      <c r="AW2" s="129" t="s">
        <v>148</v>
      </c>
      <c r="AX2" s="129" t="s">
        <v>149</v>
      </c>
      <c r="AY2" s="129" t="s">
        <v>783</v>
      </c>
      <c r="AZ2" s="129" t="s">
        <v>151</v>
      </c>
      <c r="BA2" s="129" t="s">
        <v>153</v>
      </c>
      <c r="BB2" s="129" t="s">
        <v>155</v>
      </c>
      <c r="BC2" s="129" t="s">
        <v>157</v>
      </c>
      <c r="BD2" s="129" t="s">
        <v>160</v>
      </c>
      <c r="BE2" s="129" t="s">
        <v>997</v>
      </c>
      <c r="BF2" s="129" t="s">
        <v>784</v>
      </c>
      <c r="BG2" s="129" t="s">
        <v>833</v>
      </c>
      <c r="BH2" s="129" t="s">
        <v>786</v>
      </c>
      <c r="BI2" s="129" t="s">
        <v>779</v>
      </c>
    </row>
    <row r="3" spans="1:61" ht="12.75">
      <c r="A3" s="132" t="s">
        <v>751</v>
      </c>
      <c r="B3" s="128"/>
      <c r="C3" s="155"/>
      <c r="D3" s="155"/>
      <c r="E3" s="155"/>
      <c r="F3" s="155"/>
      <c r="G3" s="155"/>
      <c r="H3" s="155"/>
      <c r="I3" s="155"/>
      <c r="J3" s="155"/>
      <c r="K3" s="155"/>
      <c r="L3" s="155"/>
      <c r="M3" s="155"/>
      <c r="N3" s="155"/>
      <c r="O3" s="155"/>
      <c r="P3" s="155"/>
      <c r="Q3" s="155"/>
      <c r="R3" s="155">
        <v>2320200</v>
      </c>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28">
        <f aca="true" t="shared" si="0" ref="BI3:BI28">SUM(C3:BH3)</f>
        <v>2320200</v>
      </c>
    </row>
    <row r="4" spans="1:61" ht="12.75">
      <c r="A4" s="132" t="s">
        <v>752</v>
      </c>
      <c r="B4" s="128"/>
      <c r="C4" s="155"/>
      <c r="D4" s="155"/>
      <c r="E4" s="155"/>
      <c r="F4" s="155"/>
      <c r="G4" s="155"/>
      <c r="H4" s="155"/>
      <c r="I4" s="155"/>
      <c r="J4" s="155"/>
      <c r="K4" s="155"/>
      <c r="L4" s="155"/>
      <c r="M4" s="155"/>
      <c r="N4" s="155"/>
      <c r="O4" s="155"/>
      <c r="P4" s="155"/>
      <c r="Q4" s="155"/>
      <c r="R4" s="155">
        <v>1840400</v>
      </c>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28">
        <f t="shared" si="0"/>
        <v>1840400</v>
      </c>
    </row>
    <row r="5" spans="1:61" ht="12.75">
      <c r="A5" s="132" t="s">
        <v>753</v>
      </c>
      <c r="B5" s="128"/>
      <c r="C5" s="155"/>
      <c r="D5" s="155"/>
      <c r="E5" s="155"/>
      <c r="F5" s="155"/>
      <c r="G5" s="155"/>
      <c r="H5" s="155"/>
      <c r="I5" s="155"/>
      <c r="J5" s="155"/>
      <c r="K5" s="155"/>
      <c r="L5" s="155"/>
      <c r="M5" s="155"/>
      <c r="N5" s="155"/>
      <c r="O5" s="155"/>
      <c r="P5" s="155"/>
      <c r="Q5" s="155"/>
      <c r="R5" s="155">
        <v>48604604.15</v>
      </c>
      <c r="S5" s="155">
        <v>739188</v>
      </c>
      <c r="T5" s="155"/>
      <c r="U5" s="155">
        <v>63846</v>
      </c>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28">
        <f t="shared" si="0"/>
        <v>49407638.15</v>
      </c>
    </row>
    <row r="6" spans="1:61" s="156" customFormat="1" ht="12.75">
      <c r="A6" s="132" t="s">
        <v>942</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28">
        <f t="shared" si="0"/>
        <v>0</v>
      </c>
    </row>
    <row r="7" spans="1:61" ht="12.75">
      <c r="A7" s="132" t="s">
        <v>755</v>
      </c>
      <c r="B7" s="128"/>
      <c r="C7" s="155">
        <v>18775623.75</v>
      </c>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28">
        <f t="shared" si="0"/>
        <v>18775623.75</v>
      </c>
    </row>
    <row r="8" spans="1:61" ht="12.75">
      <c r="A8" s="132" t="s">
        <v>756</v>
      </c>
      <c r="B8" s="128"/>
      <c r="C8" s="155"/>
      <c r="D8" s="155"/>
      <c r="E8" s="155"/>
      <c r="F8" s="155"/>
      <c r="G8" s="155"/>
      <c r="H8" s="155"/>
      <c r="I8" s="155"/>
      <c r="J8" s="155"/>
      <c r="K8" s="155"/>
      <c r="L8" s="155"/>
      <c r="M8" s="155"/>
      <c r="N8" s="155"/>
      <c r="O8" s="155"/>
      <c r="P8" s="155"/>
      <c r="Q8" s="155"/>
      <c r="R8" s="155"/>
      <c r="S8" s="155"/>
      <c r="T8" s="155"/>
      <c r="U8" s="155"/>
      <c r="V8" s="155">
        <v>1004625.76</v>
      </c>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28">
        <f t="shared" si="0"/>
        <v>1004625.76</v>
      </c>
    </row>
    <row r="9" spans="1:61" ht="12.75">
      <c r="A9" s="132" t="s">
        <v>757</v>
      </c>
      <c r="B9" s="128"/>
      <c r="C9" s="155">
        <v>1349900</v>
      </c>
      <c r="D9" s="155">
        <f>4467587.53+4370994.71+2071333.33+3039948.63</f>
        <v>13949864.2</v>
      </c>
      <c r="E9" s="155"/>
      <c r="F9" s="155"/>
      <c r="G9" s="155"/>
      <c r="H9" s="155"/>
      <c r="I9" s="155"/>
      <c r="J9" s="155"/>
      <c r="K9" s="155"/>
      <c r="L9" s="155">
        <v>2964800</v>
      </c>
      <c r="M9" s="155"/>
      <c r="N9" s="155"/>
      <c r="O9" s="155"/>
      <c r="P9" s="155"/>
      <c r="Q9" s="155"/>
      <c r="R9" s="155"/>
      <c r="S9" s="155"/>
      <c r="T9" s="155">
        <f>370000+2092308.28+8190417.76</f>
        <v>10652726.04</v>
      </c>
      <c r="U9" s="155"/>
      <c r="V9" s="155"/>
      <c r="W9" s="155"/>
      <c r="X9" s="155"/>
      <c r="Y9" s="155"/>
      <c r="Z9" s="155">
        <v>1006900</v>
      </c>
      <c r="AA9" s="155">
        <f>150022+15000</f>
        <v>165022</v>
      </c>
      <c r="AB9" s="155">
        <v>162050</v>
      </c>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28">
        <f t="shared" si="0"/>
        <v>30251262.24</v>
      </c>
    </row>
    <row r="10" spans="1:61" ht="12.75">
      <c r="A10" s="132" t="s">
        <v>781</v>
      </c>
      <c r="B10" s="128"/>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28">
        <f t="shared" si="0"/>
        <v>0</v>
      </c>
    </row>
    <row r="11" spans="1:61" ht="12.75">
      <c r="A11" s="132" t="s">
        <v>760</v>
      </c>
      <c r="B11" s="128"/>
      <c r="C11" s="155"/>
      <c r="D11" s="155"/>
      <c r="E11" s="155"/>
      <c r="F11" s="155"/>
      <c r="G11" s="155"/>
      <c r="H11" s="155">
        <v>166559.43</v>
      </c>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28">
        <f t="shared" si="0"/>
        <v>166559.43</v>
      </c>
    </row>
    <row r="12" spans="1:61" ht="12.75">
      <c r="A12" s="132" t="s">
        <v>782</v>
      </c>
      <c r="B12" s="128"/>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28">
        <f t="shared" si="0"/>
        <v>0</v>
      </c>
    </row>
    <row r="13" spans="1:61" ht="12.75">
      <c r="A13" s="132" t="s">
        <v>794</v>
      </c>
      <c r="B13" s="128"/>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28">
        <f t="shared" si="0"/>
        <v>0</v>
      </c>
    </row>
    <row r="14" spans="1:61" ht="12.75">
      <c r="A14" s="132" t="s">
        <v>762</v>
      </c>
      <c r="B14" s="128"/>
      <c r="C14" s="155"/>
      <c r="D14" s="155"/>
      <c r="E14" s="155"/>
      <c r="F14" s="155"/>
      <c r="G14" s="155"/>
      <c r="H14" s="155"/>
      <c r="I14" s="155"/>
      <c r="J14" s="155"/>
      <c r="K14" s="155"/>
      <c r="L14" s="155"/>
      <c r="M14" s="155"/>
      <c r="N14" s="155">
        <f>179810</f>
        <v>179810</v>
      </c>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28">
        <f t="shared" si="0"/>
        <v>179810</v>
      </c>
    </row>
    <row r="15" spans="1:61" ht="12.75">
      <c r="A15" s="132" t="s">
        <v>763</v>
      </c>
      <c r="B15" s="128"/>
      <c r="C15" s="155"/>
      <c r="D15" s="155"/>
      <c r="E15" s="155"/>
      <c r="F15" s="155"/>
      <c r="G15" s="155"/>
      <c r="H15" s="155">
        <v>1583967.98</v>
      </c>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28">
        <f t="shared" si="0"/>
        <v>1583967.98</v>
      </c>
    </row>
    <row r="16" spans="1:61" ht="12.75">
      <c r="A16" s="132" t="s">
        <v>764</v>
      </c>
      <c r="B16" s="128"/>
      <c r="C16" s="155"/>
      <c r="D16" s="155"/>
      <c r="E16" s="155"/>
      <c r="F16" s="155"/>
      <c r="G16" s="155">
        <v>8669416.07</v>
      </c>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28">
        <f t="shared" si="0"/>
        <v>8669416.07</v>
      </c>
    </row>
    <row r="17" spans="1:61" ht="12.75">
      <c r="A17" s="132" t="s">
        <v>765</v>
      </c>
      <c r="B17" s="128"/>
      <c r="C17" s="155"/>
      <c r="D17" s="155"/>
      <c r="E17" s="155"/>
      <c r="F17" s="155">
        <v>27600330.71</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28">
        <f t="shared" si="0"/>
        <v>27600330.71</v>
      </c>
    </row>
    <row r="18" spans="1:61" ht="12.75">
      <c r="A18" s="132" t="s">
        <v>767</v>
      </c>
      <c r="B18" s="128"/>
      <c r="C18" s="155"/>
      <c r="D18" s="155"/>
      <c r="E18" s="155"/>
      <c r="F18" s="155"/>
      <c r="G18" s="155"/>
      <c r="H18" s="155"/>
      <c r="I18" s="155"/>
      <c r="J18" s="155"/>
      <c r="K18" s="155"/>
      <c r="L18" s="155"/>
      <c r="M18" s="155"/>
      <c r="N18" s="155">
        <f>2183917+250000</f>
        <v>2433917</v>
      </c>
      <c r="O18" s="155"/>
      <c r="P18" s="155"/>
      <c r="Q18" s="155"/>
      <c r="R18" s="155"/>
      <c r="S18" s="155"/>
      <c r="T18" s="155"/>
      <c r="U18" s="155"/>
      <c r="V18" s="155"/>
      <c r="W18" s="155"/>
      <c r="X18" s="155">
        <f>112000+207888</f>
        <v>319888</v>
      </c>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28">
        <f t="shared" si="0"/>
        <v>2753805</v>
      </c>
    </row>
    <row r="19" spans="1:61" ht="12.75">
      <c r="A19" s="132" t="s">
        <v>785</v>
      </c>
      <c r="B19" s="128"/>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28">
        <f t="shared" si="0"/>
        <v>0</v>
      </c>
    </row>
    <row r="20" spans="1:61" ht="12.75">
      <c r="A20" s="132" t="s">
        <v>768</v>
      </c>
      <c r="B20" s="128"/>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v>1001657.72</v>
      </c>
      <c r="AW20" s="155"/>
      <c r="AX20" s="155"/>
      <c r="AY20" s="155"/>
      <c r="AZ20" s="155"/>
      <c r="BA20" s="155"/>
      <c r="BB20" s="155"/>
      <c r="BC20" s="155"/>
      <c r="BD20" s="155"/>
      <c r="BE20" s="155"/>
      <c r="BF20" s="155"/>
      <c r="BG20" s="155"/>
      <c r="BH20" s="155"/>
      <c r="BI20" s="128">
        <f t="shared" si="0"/>
        <v>1001657.72</v>
      </c>
    </row>
    <row r="21" spans="1:61" ht="12.75">
      <c r="A21" s="132" t="s">
        <v>769</v>
      </c>
      <c r="B21" s="128"/>
      <c r="C21" s="155"/>
      <c r="D21" s="155"/>
      <c r="E21" s="155"/>
      <c r="F21" s="155"/>
      <c r="G21" s="155"/>
      <c r="H21" s="155"/>
      <c r="I21" s="155"/>
      <c r="J21" s="155"/>
      <c r="K21" s="155">
        <v>1034666.67</v>
      </c>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28">
        <f t="shared" si="0"/>
        <v>1034666.67</v>
      </c>
    </row>
    <row r="22" spans="1:61" ht="12.75">
      <c r="A22" s="132" t="s">
        <v>770</v>
      </c>
      <c r="B22" s="128"/>
      <c r="C22" s="155"/>
      <c r="D22" s="155"/>
      <c r="E22" s="155"/>
      <c r="F22" s="155"/>
      <c r="G22" s="155"/>
      <c r="H22" s="155"/>
      <c r="I22" s="155"/>
      <c r="J22" s="155">
        <v>93270134.24</v>
      </c>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28">
        <f t="shared" si="0"/>
        <v>93270134.24</v>
      </c>
    </row>
    <row r="23" spans="1:61" ht="12.75">
      <c r="A23" s="132" t="s">
        <v>771</v>
      </c>
      <c r="B23" s="128"/>
      <c r="C23" s="155"/>
      <c r="D23" s="155"/>
      <c r="E23" s="155"/>
      <c r="F23" s="155"/>
      <c r="G23" s="155"/>
      <c r="H23" s="155"/>
      <c r="I23" s="155"/>
      <c r="J23" s="155">
        <f>196404416.23-999000</f>
        <v>195405416.23</v>
      </c>
      <c r="K23" s="155"/>
      <c r="L23" s="155"/>
      <c r="M23" s="155"/>
      <c r="N23" s="155"/>
      <c r="O23" s="155">
        <v>999000</v>
      </c>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28">
        <f t="shared" si="0"/>
        <v>196404416.23</v>
      </c>
    </row>
    <row r="24" spans="1:61" ht="12.75">
      <c r="A24" s="132" t="s">
        <v>772</v>
      </c>
      <c r="B24" s="128"/>
      <c r="C24" s="155"/>
      <c r="D24" s="155"/>
      <c r="E24" s="155"/>
      <c r="F24" s="155"/>
      <c r="G24" s="155"/>
      <c r="H24" s="155"/>
      <c r="I24" s="155"/>
      <c r="J24" s="155">
        <f>6383008-151508</f>
        <v>6231500</v>
      </c>
      <c r="K24" s="155"/>
      <c r="L24" s="155"/>
      <c r="M24" s="155"/>
      <c r="N24" s="155"/>
      <c r="O24" s="155"/>
      <c r="P24" s="155">
        <v>151508</v>
      </c>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28">
        <f t="shared" si="0"/>
        <v>6383008</v>
      </c>
    </row>
    <row r="25" spans="1:61" ht="12.75">
      <c r="A25" s="132" t="s">
        <v>773</v>
      </c>
      <c r="B25" s="128"/>
      <c r="C25" s="155"/>
      <c r="D25" s="155"/>
      <c r="E25" s="155"/>
      <c r="F25" s="155"/>
      <c r="G25" s="155"/>
      <c r="H25" s="155"/>
      <c r="I25" s="155"/>
      <c r="J25" s="155">
        <v>277900</v>
      </c>
      <c r="K25" s="155"/>
      <c r="L25" s="155"/>
      <c r="M25" s="155"/>
      <c r="N25" s="155"/>
      <c r="O25" s="155"/>
      <c r="P25" s="155">
        <v>10000</v>
      </c>
      <c r="Q25" s="155"/>
      <c r="R25" s="155">
        <v>16341891.81</v>
      </c>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28">
        <f t="shared" si="0"/>
        <v>16629791.81</v>
      </c>
    </row>
    <row r="26" spans="1:61" s="152" customFormat="1" ht="12.75">
      <c r="A26" s="132" t="s">
        <v>774</v>
      </c>
      <c r="B26" s="128"/>
      <c r="C26" s="155"/>
      <c r="D26" s="155"/>
      <c r="E26" s="155"/>
      <c r="F26" s="155"/>
      <c r="G26" s="155"/>
      <c r="H26" s="155"/>
      <c r="I26" s="155"/>
      <c r="J26" s="155"/>
      <c r="K26" s="155"/>
      <c r="L26" s="155">
        <v>461600</v>
      </c>
      <c r="M26" s="155">
        <f>16941900+1658300+6597107.95+4069900+3330000+6265400+1535000+24425940.8+595994-60000</f>
        <v>65359542.75</v>
      </c>
      <c r="N26" s="155"/>
      <c r="O26" s="155"/>
      <c r="P26" s="155"/>
      <c r="Q26" s="155">
        <f>75900+10548200+24400+43300+6174572.9+14678440+60000</f>
        <v>31604812.9</v>
      </c>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28">
        <f t="shared" si="0"/>
        <v>97425955.65</v>
      </c>
    </row>
    <row r="27" spans="1:61" ht="12.75">
      <c r="A27" s="132" t="s">
        <v>775</v>
      </c>
      <c r="B27" s="128"/>
      <c r="C27" s="155"/>
      <c r="D27" s="155"/>
      <c r="E27" s="155"/>
      <c r="F27" s="155"/>
      <c r="G27" s="155"/>
      <c r="H27" s="155"/>
      <c r="I27" s="155"/>
      <c r="J27" s="155"/>
      <c r="K27" s="155"/>
      <c r="L27" s="155"/>
      <c r="M27" s="155"/>
      <c r="N27" s="155"/>
      <c r="O27" s="155"/>
      <c r="P27" s="155"/>
      <c r="Q27" s="155"/>
      <c r="R27" s="155">
        <v>8210530.76</v>
      </c>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28">
        <f t="shared" si="0"/>
        <v>8210530.76</v>
      </c>
    </row>
    <row r="28" spans="1:61" ht="12.75">
      <c r="A28" s="132" t="s">
        <v>776</v>
      </c>
      <c r="B28" s="128"/>
      <c r="C28" s="155"/>
      <c r="D28" s="155"/>
      <c r="E28" s="155"/>
      <c r="F28" s="155"/>
      <c r="G28" s="155"/>
      <c r="H28" s="155"/>
      <c r="I28" s="155"/>
      <c r="J28" s="155"/>
      <c r="K28" s="155"/>
      <c r="L28" s="155"/>
      <c r="M28" s="155"/>
      <c r="N28" s="155">
        <f>596120+129116</f>
        <v>725236</v>
      </c>
      <c r="O28" s="155"/>
      <c r="P28" s="155"/>
      <c r="Q28" s="155"/>
      <c r="R28" s="155"/>
      <c r="S28" s="155"/>
      <c r="T28" s="155"/>
      <c r="U28" s="155"/>
      <c r="V28" s="155"/>
      <c r="W28" s="155"/>
      <c r="X28" s="155"/>
      <c r="Y28" s="155">
        <f>1150000+586946+686236.51+236871.5+1150000</f>
        <v>3810054.01</v>
      </c>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28">
        <f t="shared" si="0"/>
        <v>4535290.01</v>
      </c>
    </row>
    <row r="29" spans="1:61" ht="12.75">
      <c r="A29" s="132" t="s">
        <v>758</v>
      </c>
      <c r="B29" s="128"/>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28">
        <f>SUM(C29:BH29)</f>
        <v>0</v>
      </c>
    </row>
    <row r="30" spans="1:61" ht="12.75">
      <c r="A30" s="132" t="s">
        <v>766</v>
      </c>
      <c r="B30" s="128"/>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28">
        <f>SUM(C30:BH30)</f>
        <v>0</v>
      </c>
    </row>
    <row r="31" spans="1:61" ht="12.75">
      <c r="A31" s="132" t="s">
        <v>750</v>
      </c>
      <c r="B31" s="128"/>
      <c r="C31" s="155"/>
      <c r="D31" s="155"/>
      <c r="E31" s="155"/>
      <c r="F31" s="155"/>
      <c r="G31" s="155"/>
      <c r="H31" s="155"/>
      <c r="I31" s="155"/>
      <c r="J31" s="155"/>
      <c r="K31" s="155"/>
      <c r="L31" s="155"/>
      <c r="M31" s="155"/>
      <c r="N31" s="155"/>
      <c r="O31" s="155">
        <v>1544822</v>
      </c>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28">
        <f aca="true" t="shared" si="1" ref="BI31:BI36">SUM(C31:BH31)</f>
        <v>1544822</v>
      </c>
    </row>
    <row r="32" spans="1:61" ht="12.75">
      <c r="A32" s="132" t="s">
        <v>777</v>
      </c>
      <c r="B32" s="128"/>
      <c r="C32" s="155"/>
      <c r="D32" s="155"/>
      <c r="E32" s="155"/>
      <c r="F32" s="155"/>
      <c r="G32" s="155"/>
      <c r="H32" s="155"/>
      <c r="I32" s="155"/>
      <c r="J32" s="155"/>
      <c r="K32" s="155"/>
      <c r="L32" s="155"/>
      <c r="M32" s="155"/>
      <c r="N32" s="155"/>
      <c r="O32" s="155">
        <v>5763413.64</v>
      </c>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28">
        <f t="shared" si="1"/>
        <v>5763413.64</v>
      </c>
    </row>
    <row r="33" spans="1:61" ht="12.75">
      <c r="A33" s="132" t="s">
        <v>94</v>
      </c>
      <c r="B33" s="128"/>
      <c r="C33" s="155"/>
      <c r="D33" s="155"/>
      <c r="E33" s="155"/>
      <c r="F33" s="155"/>
      <c r="G33" s="155"/>
      <c r="H33" s="155"/>
      <c r="I33" s="155"/>
      <c r="J33" s="155"/>
      <c r="K33" s="155"/>
      <c r="L33" s="155"/>
      <c r="M33" s="155"/>
      <c r="N33" s="155"/>
      <c r="O33" s="155">
        <v>89250</v>
      </c>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28">
        <f t="shared" si="1"/>
        <v>89250</v>
      </c>
    </row>
    <row r="34" spans="1:61" ht="12.75">
      <c r="A34" s="132" t="s">
        <v>778</v>
      </c>
      <c r="B34" s="128"/>
      <c r="C34" s="155"/>
      <c r="D34" s="155"/>
      <c r="E34" s="155"/>
      <c r="F34" s="155"/>
      <c r="G34" s="155"/>
      <c r="H34" s="155"/>
      <c r="I34" s="155"/>
      <c r="J34" s="155"/>
      <c r="K34" s="155"/>
      <c r="L34" s="155"/>
      <c r="M34" s="155"/>
      <c r="N34" s="155"/>
      <c r="O34" s="155"/>
      <c r="P34" s="155"/>
      <c r="Q34" s="155"/>
      <c r="R34" s="155"/>
      <c r="S34" s="155"/>
      <c r="T34" s="155"/>
      <c r="U34" s="155"/>
      <c r="V34" s="155"/>
      <c r="W34" s="155">
        <v>329475.95</v>
      </c>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28">
        <f t="shared" si="1"/>
        <v>329475.95</v>
      </c>
    </row>
    <row r="35" spans="1:61" ht="12.75">
      <c r="A35" s="132" t="s">
        <v>109</v>
      </c>
      <c r="B35" s="128"/>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28">
        <f t="shared" si="1"/>
        <v>0</v>
      </c>
    </row>
    <row r="36" spans="1:61" ht="12.75">
      <c r="A36" s="132" t="s">
        <v>113</v>
      </c>
      <c r="B36" s="128"/>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28">
        <f t="shared" si="1"/>
        <v>0</v>
      </c>
    </row>
    <row r="37" spans="1:61" ht="12.75">
      <c r="A37" s="132" t="s">
        <v>779</v>
      </c>
      <c r="B37" s="128"/>
      <c r="C37" s="128">
        <f aca="true" t="shared" si="2" ref="C37:AC37">SUM(C3:C36)</f>
        <v>20125523.75</v>
      </c>
      <c r="D37" s="128">
        <f t="shared" si="2"/>
        <v>13949864.2</v>
      </c>
      <c r="E37" s="128">
        <f t="shared" si="2"/>
        <v>0</v>
      </c>
      <c r="F37" s="128">
        <f t="shared" si="2"/>
        <v>27600330.71</v>
      </c>
      <c r="G37" s="128">
        <f t="shared" si="2"/>
        <v>8669416.07</v>
      </c>
      <c r="H37" s="128">
        <f t="shared" si="2"/>
        <v>1750527.41</v>
      </c>
      <c r="I37" s="128">
        <f t="shared" si="2"/>
        <v>0</v>
      </c>
      <c r="J37" s="128">
        <f t="shared" si="2"/>
        <v>295184950.46999997</v>
      </c>
      <c r="K37" s="128">
        <f t="shared" si="2"/>
        <v>1034666.67</v>
      </c>
      <c r="L37" s="128">
        <f t="shared" si="2"/>
        <v>3426400</v>
      </c>
      <c r="M37" s="128">
        <f t="shared" si="2"/>
        <v>65359542.75</v>
      </c>
      <c r="N37" s="128">
        <f t="shared" si="2"/>
        <v>3338963</v>
      </c>
      <c r="O37" s="128">
        <f t="shared" si="2"/>
        <v>8396485.64</v>
      </c>
      <c r="P37" s="128">
        <f t="shared" si="2"/>
        <v>161508</v>
      </c>
      <c r="Q37" s="128">
        <f t="shared" si="2"/>
        <v>31604812.9</v>
      </c>
      <c r="R37" s="128">
        <f t="shared" si="2"/>
        <v>77317626.72</v>
      </c>
      <c r="S37" s="128">
        <f t="shared" si="2"/>
        <v>739188</v>
      </c>
      <c r="T37" s="128">
        <f t="shared" si="2"/>
        <v>10652726.04</v>
      </c>
      <c r="U37" s="128">
        <f t="shared" si="2"/>
        <v>63846</v>
      </c>
      <c r="V37" s="128">
        <f t="shared" si="2"/>
        <v>1004625.76</v>
      </c>
      <c r="W37" s="128">
        <f t="shared" si="2"/>
        <v>329475.95</v>
      </c>
      <c r="X37" s="128">
        <f t="shared" si="2"/>
        <v>319888</v>
      </c>
      <c r="Y37" s="128">
        <f t="shared" si="2"/>
        <v>3810054.01</v>
      </c>
      <c r="Z37" s="128">
        <f t="shared" si="2"/>
        <v>1006900</v>
      </c>
      <c r="AA37" s="128">
        <f t="shared" si="2"/>
        <v>165022</v>
      </c>
      <c r="AB37" s="128">
        <f t="shared" si="2"/>
        <v>162050</v>
      </c>
      <c r="AC37" s="128">
        <f t="shared" si="2"/>
        <v>0</v>
      </c>
      <c r="AD37" s="128">
        <f aca="true" t="shared" si="3" ref="AD37:AR37">SUM(AD3:AD36)</f>
        <v>0</v>
      </c>
      <c r="AE37" s="128">
        <f t="shared" si="3"/>
        <v>0</v>
      </c>
      <c r="AF37" s="128">
        <f t="shared" si="3"/>
        <v>0</v>
      </c>
      <c r="AG37" s="128">
        <f t="shared" si="3"/>
        <v>0</v>
      </c>
      <c r="AH37" s="128">
        <f t="shared" si="3"/>
        <v>0</v>
      </c>
      <c r="AI37" s="128">
        <f t="shared" si="3"/>
        <v>0</v>
      </c>
      <c r="AJ37" s="128">
        <f t="shared" si="3"/>
        <v>0</v>
      </c>
      <c r="AK37" s="128">
        <f t="shared" si="3"/>
        <v>0</v>
      </c>
      <c r="AL37" s="128">
        <f t="shared" si="3"/>
        <v>0</v>
      </c>
      <c r="AM37" s="128">
        <f t="shared" si="3"/>
        <v>0</v>
      </c>
      <c r="AN37" s="128">
        <f t="shared" si="3"/>
        <v>0</v>
      </c>
      <c r="AO37" s="128">
        <f t="shared" si="3"/>
        <v>0</v>
      </c>
      <c r="AP37" s="128">
        <f t="shared" si="3"/>
        <v>0</v>
      </c>
      <c r="AQ37" s="128">
        <f t="shared" si="3"/>
        <v>0</v>
      </c>
      <c r="AR37" s="128">
        <f t="shared" si="3"/>
        <v>0</v>
      </c>
      <c r="AS37" s="128">
        <f aca="true" t="shared" si="4" ref="AS37:BI37">SUM(AS3:AS36)</f>
        <v>0</v>
      </c>
      <c r="AT37" s="128">
        <f t="shared" si="4"/>
        <v>0</v>
      </c>
      <c r="AU37" s="128">
        <f t="shared" si="4"/>
        <v>0</v>
      </c>
      <c r="AV37" s="128">
        <f t="shared" si="4"/>
        <v>1001657.72</v>
      </c>
      <c r="AW37" s="128">
        <f t="shared" si="4"/>
        <v>0</v>
      </c>
      <c r="AX37" s="128">
        <f t="shared" si="4"/>
        <v>0</v>
      </c>
      <c r="AY37" s="128">
        <f t="shared" si="4"/>
        <v>0</v>
      </c>
      <c r="AZ37" s="128">
        <f t="shared" si="4"/>
        <v>0</v>
      </c>
      <c r="BA37" s="128">
        <f t="shared" si="4"/>
        <v>0</v>
      </c>
      <c r="BB37" s="128">
        <f t="shared" si="4"/>
        <v>0</v>
      </c>
      <c r="BC37" s="128">
        <f t="shared" si="4"/>
        <v>0</v>
      </c>
      <c r="BD37" s="128">
        <f t="shared" si="4"/>
        <v>0</v>
      </c>
      <c r="BE37" s="128">
        <f t="shared" si="4"/>
        <v>0</v>
      </c>
      <c r="BF37" s="128">
        <f t="shared" si="4"/>
        <v>0</v>
      </c>
      <c r="BG37" s="128">
        <f t="shared" si="4"/>
        <v>0</v>
      </c>
      <c r="BH37" s="128">
        <f t="shared" si="4"/>
        <v>0</v>
      </c>
      <c r="BI37" s="128">
        <f t="shared" si="4"/>
        <v>577176051.7700001</v>
      </c>
    </row>
    <row r="38" spans="17:60" ht="12.75">
      <c r="Q38" s="144">
        <f>SUM(C37:Q37)</f>
        <v>480602991.56999993</v>
      </c>
      <c r="W38" s="145">
        <f>SUM(R37:W37)</f>
        <v>90107488.47</v>
      </c>
      <c r="AB38" s="136">
        <f>SUM(X37:AB37)</f>
        <v>5463914.01</v>
      </c>
      <c r="AC38" s="136"/>
      <c r="AQ38" s="136">
        <f>SUM(AD37:AQ37)</f>
        <v>0</v>
      </c>
      <c r="BH38" s="136">
        <f>SUM(AR37:BH37)</f>
        <v>1001657.72</v>
      </c>
    </row>
    <row r="39" ht="12.75">
      <c r="BH39" s="136">
        <f>SUM(AV37:BH37)</f>
        <v>1001657.72</v>
      </c>
    </row>
  </sheetData>
  <sheetProtection/>
  <printOptions/>
  <pageMargins left="0.31496062992125984" right="0" top="1.141732283464567" bottom="0.1968503937007874"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2:BI39"/>
  <sheetViews>
    <sheetView zoomScalePageLayoutView="0" workbookViewId="0" topLeftCell="A1">
      <pane xSplit="1" ySplit="2" topLeftCell="M3" activePane="bottomRight" state="frozen"/>
      <selection pane="topLeft" activeCell="A1" sqref="A1"/>
      <selection pane="topRight" activeCell="B1" sqref="B1"/>
      <selection pane="bottomLeft" activeCell="A3" sqref="A3"/>
      <selection pane="bottomRight" activeCell="Y25" sqref="Y25"/>
    </sheetView>
  </sheetViews>
  <sheetFormatPr defaultColWidth="9.140625" defaultRowHeight="12.75"/>
  <cols>
    <col min="1" max="1" width="6.00390625" style="397" customWidth="1"/>
    <col min="2" max="2" width="6.00390625" style="398" hidden="1" customWidth="1"/>
    <col min="3" max="4" width="11.421875" style="398" customWidth="1"/>
    <col min="5" max="5" width="5.140625" style="398" customWidth="1"/>
    <col min="6" max="6" width="11.421875" style="398" customWidth="1"/>
    <col min="7" max="7" width="11.140625" style="398" customWidth="1"/>
    <col min="8" max="8" width="11.28125" style="398" customWidth="1"/>
    <col min="9" max="9" width="4.7109375" style="398" customWidth="1"/>
    <col min="10" max="10" width="12.7109375" style="398" customWidth="1"/>
    <col min="11" max="11" width="11.140625" style="398" customWidth="1"/>
    <col min="12" max="12" width="10.421875" style="398" customWidth="1"/>
    <col min="13" max="13" width="11.28125" style="398" customWidth="1"/>
    <col min="14" max="15" width="10.421875" style="398" customWidth="1"/>
    <col min="16" max="16" width="9.28125" style="398" customWidth="1"/>
    <col min="17" max="17" width="11.421875" style="398" customWidth="1"/>
    <col min="18" max="18" width="11.421875" style="156" customWidth="1"/>
    <col min="19" max="19" width="9.00390625" style="156" customWidth="1"/>
    <col min="20" max="20" width="11.8515625" style="156" customWidth="1"/>
    <col min="21" max="21" width="9.140625" style="156" customWidth="1"/>
    <col min="22" max="22" width="10.57421875" style="156" customWidth="1"/>
    <col min="23" max="23" width="10.7109375" style="156" customWidth="1"/>
    <col min="24" max="24" width="9.140625" style="156" customWidth="1"/>
    <col min="25" max="25" width="10.421875" style="156" customWidth="1"/>
    <col min="26" max="26" width="10.57421875" style="156" customWidth="1"/>
    <col min="27" max="28" width="9.28125" style="156" customWidth="1"/>
    <col min="29" max="30" width="9.28125" style="156" hidden="1" customWidth="1"/>
    <col min="31" max="31" width="10.421875" style="156" hidden="1" customWidth="1"/>
    <col min="32" max="32" width="12.7109375" style="156" hidden="1" customWidth="1"/>
    <col min="33" max="33" width="9.28125" style="156" hidden="1" customWidth="1"/>
    <col min="34" max="34" width="11.8515625" style="156" hidden="1" customWidth="1"/>
    <col min="35" max="35" width="11.7109375" style="156" hidden="1" customWidth="1"/>
    <col min="36" max="36" width="11.140625" style="156" hidden="1" customWidth="1"/>
    <col min="37" max="37" width="10.8515625" style="156" hidden="1" customWidth="1"/>
    <col min="38" max="38" width="7.28125" style="156" hidden="1" customWidth="1"/>
    <col min="39" max="40" width="9.28125" style="156" hidden="1" customWidth="1"/>
    <col min="41" max="41" width="8.28125" style="156" hidden="1" customWidth="1"/>
    <col min="42" max="42" width="9.140625" style="156" hidden="1" customWidth="1"/>
    <col min="43" max="43" width="8.140625" style="156" hidden="1" customWidth="1"/>
    <col min="44" max="44" width="11.421875" style="156" hidden="1" customWidth="1"/>
    <col min="45" max="45" width="10.57421875" style="156" hidden="1" customWidth="1"/>
    <col min="46" max="47" width="11.7109375" style="156" hidden="1" customWidth="1"/>
    <col min="48" max="48" width="11.57421875" style="156" customWidth="1"/>
    <col min="49" max="50" width="11.57421875" style="156" hidden="1" customWidth="1"/>
    <col min="51" max="52" width="10.421875" style="156" hidden="1" customWidth="1"/>
    <col min="53" max="54" width="9.140625" style="156" hidden="1" customWidth="1"/>
    <col min="55" max="58" width="10.421875" style="156" hidden="1" customWidth="1"/>
    <col min="59" max="59" width="11.7109375" style="156" hidden="1" customWidth="1"/>
    <col min="60" max="60" width="10.8515625" style="156" hidden="1" customWidth="1"/>
    <col min="61" max="61" width="14.7109375" style="156" customWidth="1"/>
    <col min="62" max="16384" width="9.140625" style="156" customWidth="1"/>
  </cols>
  <sheetData>
    <row r="2" spans="1:61" s="394" customFormat="1" ht="12.75">
      <c r="A2" s="392"/>
      <c r="B2" s="393"/>
      <c r="C2" s="393" t="s">
        <v>754</v>
      </c>
      <c r="D2" s="393" t="s">
        <v>758</v>
      </c>
      <c r="E2" s="393" t="s">
        <v>62</v>
      </c>
      <c r="F2" s="393" t="s">
        <v>766</v>
      </c>
      <c r="G2" s="393" t="s">
        <v>68</v>
      </c>
      <c r="H2" s="393" t="s">
        <v>761</v>
      </c>
      <c r="I2" s="393" t="s">
        <v>74</v>
      </c>
      <c r="J2" s="393" t="s">
        <v>75</v>
      </c>
      <c r="K2" s="393" t="s">
        <v>79</v>
      </c>
      <c r="L2" s="393" t="s">
        <v>759</v>
      </c>
      <c r="M2" s="393" t="s">
        <v>82</v>
      </c>
      <c r="N2" s="393" t="s">
        <v>85</v>
      </c>
      <c r="O2" s="393" t="s">
        <v>87</v>
      </c>
      <c r="P2" s="393" t="s">
        <v>89</v>
      </c>
      <c r="Q2" s="393" t="s">
        <v>91</v>
      </c>
      <c r="R2" s="393" t="s">
        <v>750</v>
      </c>
      <c r="S2" s="393" t="s">
        <v>94</v>
      </c>
      <c r="T2" s="393" t="s">
        <v>95</v>
      </c>
      <c r="U2" s="393" t="s">
        <v>97</v>
      </c>
      <c r="V2" s="393" t="s">
        <v>99</v>
      </c>
      <c r="W2" s="393" t="s">
        <v>101</v>
      </c>
      <c r="X2" s="393" t="s">
        <v>106</v>
      </c>
      <c r="Y2" s="393" t="s">
        <v>109</v>
      </c>
      <c r="Z2" s="393" t="s">
        <v>111</v>
      </c>
      <c r="AA2" s="393" t="s">
        <v>115</v>
      </c>
      <c r="AB2" s="393" t="s">
        <v>117</v>
      </c>
      <c r="AC2" s="393" t="s">
        <v>122</v>
      </c>
      <c r="AD2" s="393" t="s">
        <v>124</v>
      </c>
      <c r="AE2" s="393" t="s">
        <v>125</v>
      </c>
      <c r="AF2" s="393" t="s">
        <v>126</v>
      </c>
      <c r="AG2" s="393" t="s">
        <v>127</v>
      </c>
      <c r="AH2" s="393" t="s">
        <v>129</v>
      </c>
      <c r="AI2" s="393" t="s">
        <v>130</v>
      </c>
      <c r="AJ2" s="393" t="s">
        <v>788</v>
      </c>
      <c r="AK2" s="393" t="s">
        <v>790</v>
      </c>
      <c r="AL2" s="393" t="s">
        <v>791</v>
      </c>
      <c r="AM2" s="393" t="s">
        <v>793</v>
      </c>
      <c r="AN2" s="393" t="s">
        <v>795</v>
      </c>
      <c r="AO2" s="393" t="s">
        <v>792</v>
      </c>
      <c r="AP2" s="393" t="s">
        <v>796</v>
      </c>
      <c r="AQ2" s="393" t="s">
        <v>789</v>
      </c>
      <c r="AR2" s="393" t="s">
        <v>787</v>
      </c>
      <c r="AS2" s="393" t="s">
        <v>780</v>
      </c>
      <c r="AT2" s="393" t="s">
        <v>832</v>
      </c>
      <c r="AU2" s="393" t="s">
        <v>996</v>
      </c>
      <c r="AV2" s="393" t="s">
        <v>147</v>
      </c>
      <c r="AW2" s="393" t="s">
        <v>148</v>
      </c>
      <c r="AX2" s="393" t="s">
        <v>149</v>
      </c>
      <c r="AY2" s="393" t="s">
        <v>783</v>
      </c>
      <c r="AZ2" s="393" t="s">
        <v>151</v>
      </c>
      <c r="BA2" s="393" t="s">
        <v>153</v>
      </c>
      <c r="BB2" s="393" t="s">
        <v>155</v>
      </c>
      <c r="BC2" s="393" t="s">
        <v>157</v>
      </c>
      <c r="BD2" s="393" t="s">
        <v>160</v>
      </c>
      <c r="BE2" s="393" t="s">
        <v>997</v>
      </c>
      <c r="BF2" s="393" t="s">
        <v>784</v>
      </c>
      <c r="BG2" s="393" t="s">
        <v>833</v>
      </c>
      <c r="BH2" s="393" t="s">
        <v>786</v>
      </c>
      <c r="BI2" s="393" t="s">
        <v>779</v>
      </c>
    </row>
    <row r="3" spans="1:61" ht="12.75">
      <c r="A3" s="395" t="s">
        <v>751</v>
      </c>
      <c r="B3" s="155"/>
      <c r="C3" s="155"/>
      <c r="D3" s="155"/>
      <c r="E3" s="155"/>
      <c r="F3" s="155"/>
      <c r="G3" s="155"/>
      <c r="H3" s="155"/>
      <c r="I3" s="155"/>
      <c r="J3" s="155"/>
      <c r="K3" s="155"/>
      <c r="L3" s="155"/>
      <c r="M3" s="155"/>
      <c r="N3" s="155"/>
      <c r="O3" s="155"/>
      <c r="P3" s="155"/>
      <c r="Q3" s="155"/>
      <c r="R3" s="155">
        <v>2320143.51</v>
      </c>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f aca="true" t="shared" si="0" ref="BI3:BI28">SUM(C3:BH3)</f>
        <v>2320143.51</v>
      </c>
    </row>
    <row r="4" spans="1:61" ht="12.75">
      <c r="A4" s="395" t="s">
        <v>752</v>
      </c>
      <c r="B4" s="155"/>
      <c r="C4" s="155"/>
      <c r="D4" s="155"/>
      <c r="E4" s="155"/>
      <c r="F4" s="155"/>
      <c r="G4" s="155"/>
      <c r="H4" s="155"/>
      <c r="I4" s="155"/>
      <c r="J4" s="155"/>
      <c r="K4" s="155"/>
      <c r="L4" s="155"/>
      <c r="M4" s="155"/>
      <c r="N4" s="155"/>
      <c r="O4" s="155"/>
      <c r="P4" s="155"/>
      <c r="Q4" s="155"/>
      <c r="R4" s="155">
        <v>1807067.15</v>
      </c>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f t="shared" si="0"/>
        <v>1807067.15</v>
      </c>
    </row>
    <row r="5" spans="1:61" ht="12.75">
      <c r="A5" s="395" t="s">
        <v>753</v>
      </c>
      <c r="B5" s="155"/>
      <c r="C5" s="155"/>
      <c r="D5" s="155"/>
      <c r="E5" s="155"/>
      <c r="F5" s="155"/>
      <c r="G5" s="155"/>
      <c r="H5" s="155"/>
      <c r="I5" s="155"/>
      <c r="J5" s="155"/>
      <c r="K5" s="155"/>
      <c r="L5" s="155"/>
      <c r="M5" s="155"/>
      <c r="N5" s="155"/>
      <c r="O5" s="155"/>
      <c r="P5" s="155"/>
      <c r="Q5" s="155"/>
      <c r="R5" s="155">
        <v>47443592.98</v>
      </c>
      <c r="S5" s="155">
        <v>739188</v>
      </c>
      <c r="T5" s="155"/>
      <c r="U5" s="155">
        <v>63846</v>
      </c>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f t="shared" si="0"/>
        <v>48246626.98</v>
      </c>
    </row>
    <row r="6" spans="1:61" ht="12.75">
      <c r="A6" s="395" t="s">
        <v>942</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f t="shared" si="0"/>
        <v>0</v>
      </c>
    </row>
    <row r="7" spans="1:61" ht="12.75">
      <c r="A7" s="395" t="s">
        <v>755</v>
      </c>
      <c r="B7" s="155"/>
      <c r="C7" s="155">
        <v>18619814.4</v>
      </c>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f t="shared" si="0"/>
        <v>18619814.4</v>
      </c>
    </row>
    <row r="8" spans="1:61" ht="12.75">
      <c r="A8" s="395" t="s">
        <v>756</v>
      </c>
      <c r="B8" s="155"/>
      <c r="C8" s="155"/>
      <c r="D8" s="155"/>
      <c r="E8" s="155"/>
      <c r="F8" s="155"/>
      <c r="G8" s="155"/>
      <c r="H8" s="155"/>
      <c r="I8" s="155"/>
      <c r="J8" s="155"/>
      <c r="K8" s="155"/>
      <c r="L8" s="155"/>
      <c r="M8" s="155"/>
      <c r="N8" s="155"/>
      <c r="O8" s="155"/>
      <c r="P8" s="155"/>
      <c r="Q8" s="155"/>
      <c r="R8" s="155"/>
      <c r="S8" s="155"/>
      <c r="T8" s="155"/>
      <c r="U8" s="155"/>
      <c r="V8" s="155">
        <v>0</v>
      </c>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f t="shared" si="0"/>
        <v>0</v>
      </c>
    </row>
    <row r="9" spans="1:61" ht="12.75">
      <c r="A9" s="395" t="s">
        <v>757</v>
      </c>
      <c r="B9" s="155"/>
      <c r="C9" s="155">
        <v>1349868</v>
      </c>
      <c r="D9" s="155">
        <f>4467587.53+4370994.71+2071333.33+3039948.63</f>
        <v>13949864.2</v>
      </c>
      <c r="E9" s="155"/>
      <c r="F9" s="155"/>
      <c r="G9" s="155"/>
      <c r="H9" s="155"/>
      <c r="I9" s="155"/>
      <c r="J9" s="155"/>
      <c r="K9" s="155"/>
      <c r="L9" s="155">
        <v>2960147.91</v>
      </c>
      <c r="M9" s="155"/>
      <c r="N9" s="155"/>
      <c r="O9" s="155"/>
      <c r="P9" s="155"/>
      <c r="Q9" s="155"/>
      <c r="R9" s="155"/>
      <c r="S9" s="155"/>
      <c r="T9" s="155">
        <f>2085007.86+8190417.76</f>
        <v>10275425.62</v>
      </c>
      <c r="U9" s="155"/>
      <c r="V9" s="155"/>
      <c r="W9" s="155"/>
      <c r="X9" s="155"/>
      <c r="Y9" s="155"/>
      <c r="Z9" s="155">
        <v>1006900</v>
      </c>
      <c r="AA9" s="155">
        <f>150022+6000</f>
        <v>156022</v>
      </c>
      <c r="AB9" s="155">
        <v>162050</v>
      </c>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f t="shared" si="0"/>
        <v>29860277.729999997</v>
      </c>
    </row>
    <row r="10" spans="1:61" ht="12.75">
      <c r="A10" s="395" t="s">
        <v>781</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f t="shared" si="0"/>
        <v>0</v>
      </c>
    </row>
    <row r="11" spans="1:61" ht="12.75">
      <c r="A11" s="395" t="s">
        <v>760</v>
      </c>
      <c r="B11" s="155"/>
      <c r="C11" s="155"/>
      <c r="D11" s="155"/>
      <c r="E11" s="155"/>
      <c r="F11" s="155"/>
      <c r="G11" s="155"/>
      <c r="H11" s="155">
        <v>166559.43</v>
      </c>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f t="shared" si="0"/>
        <v>166559.43</v>
      </c>
    </row>
    <row r="12" spans="1:61" ht="12.75">
      <c r="A12" s="395" t="s">
        <v>782</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f t="shared" si="0"/>
        <v>0</v>
      </c>
    </row>
    <row r="13" spans="1:61" ht="12.75">
      <c r="A13" s="395" t="s">
        <v>794</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f t="shared" si="0"/>
        <v>0</v>
      </c>
    </row>
    <row r="14" spans="1:61" ht="12.75">
      <c r="A14" s="395" t="s">
        <v>762</v>
      </c>
      <c r="B14" s="155"/>
      <c r="C14" s="155"/>
      <c r="D14" s="155"/>
      <c r="E14" s="155"/>
      <c r="F14" s="155"/>
      <c r="G14" s="155"/>
      <c r="H14" s="155"/>
      <c r="I14" s="155"/>
      <c r="J14" s="155"/>
      <c r="K14" s="155"/>
      <c r="L14" s="155"/>
      <c r="M14" s="155"/>
      <c r="N14" s="155">
        <v>171241</v>
      </c>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f t="shared" si="0"/>
        <v>171241</v>
      </c>
    </row>
    <row r="15" spans="1:61" ht="12.75">
      <c r="A15" s="395" t="s">
        <v>763</v>
      </c>
      <c r="B15" s="155"/>
      <c r="C15" s="155"/>
      <c r="D15" s="155"/>
      <c r="E15" s="155"/>
      <c r="F15" s="155"/>
      <c r="G15" s="155"/>
      <c r="H15" s="155">
        <v>200736.52</v>
      </c>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f t="shared" si="0"/>
        <v>200736.52</v>
      </c>
    </row>
    <row r="16" spans="1:61" ht="12.75">
      <c r="A16" s="395" t="s">
        <v>764</v>
      </c>
      <c r="B16" s="155"/>
      <c r="C16" s="155"/>
      <c r="D16" s="155"/>
      <c r="E16" s="155"/>
      <c r="F16" s="155"/>
      <c r="G16" s="155">
        <v>8326322.05</v>
      </c>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f t="shared" si="0"/>
        <v>8326322.05</v>
      </c>
    </row>
    <row r="17" spans="1:61" ht="12.75">
      <c r="A17" s="395" t="s">
        <v>765</v>
      </c>
      <c r="B17" s="155"/>
      <c r="C17" s="155"/>
      <c r="D17" s="155"/>
      <c r="E17" s="155"/>
      <c r="F17" s="155">
        <v>27319191.12</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f t="shared" si="0"/>
        <v>27319191.12</v>
      </c>
    </row>
    <row r="18" spans="1:61" ht="12.75">
      <c r="A18" s="395" t="s">
        <v>767</v>
      </c>
      <c r="B18" s="155"/>
      <c r="C18" s="155"/>
      <c r="D18" s="155"/>
      <c r="E18" s="155"/>
      <c r="F18" s="155"/>
      <c r="G18" s="155"/>
      <c r="H18" s="155"/>
      <c r="I18" s="155"/>
      <c r="J18" s="155"/>
      <c r="K18" s="155"/>
      <c r="L18" s="155"/>
      <c r="M18" s="155"/>
      <c r="N18" s="155">
        <f>2183890+250000</f>
        <v>2433890</v>
      </c>
      <c r="O18" s="155"/>
      <c r="P18" s="155"/>
      <c r="Q18" s="155"/>
      <c r="R18" s="155"/>
      <c r="S18" s="155"/>
      <c r="T18" s="155"/>
      <c r="U18" s="155"/>
      <c r="V18" s="155"/>
      <c r="W18" s="155"/>
      <c r="X18" s="155">
        <f>112000+92888</f>
        <v>204888</v>
      </c>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f t="shared" si="0"/>
        <v>2638778</v>
      </c>
    </row>
    <row r="19" spans="1:61" ht="12.75">
      <c r="A19" s="395" t="s">
        <v>785</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f t="shared" si="0"/>
        <v>0</v>
      </c>
    </row>
    <row r="20" spans="1:61" ht="12.75">
      <c r="A20" s="395" t="s">
        <v>768</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v>0</v>
      </c>
      <c r="AW20" s="155"/>
      <c r="AX20" s="155"/>
      <c r="AY20" s="155"/>
      <c r="AZ20" s="155"/>
      <c r="BA20" s="155"/>
      <c r="BB20" s="155"/>
      <c r="BC20" s="155"/>
      <c r="BD20" s="155"/>
      <c r="BE20" s="155"/>
      <c r="BF20" s="155"/>
      <c r="BG20" s="155"/>
      <c r="BH20" s="155"/>
      <c r="BI20" s="155">
        <f t="shared" si="0"/>
        <v>0</v>
      </c>
    </row>
    <row r="21" spans="1:61" ht="12.75">
      <c r="A21" s="395" t="s">
        <v>769</v>
      </c>
      <c r="B21" s="155"/>
      <c r="C21" s="155"/>
      <c r="D21" s="155"/>
      <c r="E21" s="155"/>
      <c r="F21" s="155"/>
      <c r="G21" s="155"/>
      <c r="H21" s="155"/>
      <c r="I21" s="155"/>
      <c r="J21" s="155"/>
      <c r="K21" s="155">
        <v>1034666.67</v>
      </c>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f t="shared" si="0"/>
        <v>1034666.67</v>
      </c>
    </row>
    <row r="22" spans="1:61" ht="12.75">
      <c r="A22" s="395" t="s">
        <v>770</v>
      </c>
      <c r="B22" s="155"/>
      <c r="C22" s="155"/>
      <c r="D22" s="155"/>
      <c r="E22" s="155"/>
      <c r="F22" s="155"/>
      <c r="G22" s="155"/>
      <c r="H22" s="155"/>
      <c r="I22" s="155"/>
      <c r="J22" s="155">
        <v>92555226.79</v>
      </c>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f t="shared" si="0"/>
        <v>92555226.79</v>
      </c>
    </row>
    <row r="23" spans="1:61" ht="12.75">
      <c r="A23" s="395" t="s">
        <v>771</v>
      </c>
      <c r="B23" s="155"/>
      <c r="C23" s="155"/>
      <c r="D23" s="155"/>
      <c r="E23" s="155"/>
      <c r="F23" s="155"/>
      <c r="G23" s="155"/>
      <c r="H23" s="155"/>
      <c r="I23" s="155"/>
      <c r="J23" s="155">
        <f>194376550.29-999000</f>
        <v>193377550.29</v>
      </c>
      <c r="K23" s="155"/>
      <c r="L23" s="155"/>
      <c r="M23" s="155"/>
      <c r="N23" s="155"/>
      <c r="O23" s="155">
        <v>999000</v>
      </c>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f t="shared" si="0"/>
        <v>194376550.29</v>
      </c>
    </row>
    <row r="24" spans="1:61" ht="12.75">
      <c r="A24" s="395" t="s">
        <v>772</v>
      </c>
      <c r="B24" s="155"/>
      <c r="C24" s="155"/>
      <c r="D24" s="155"/>
      <c r="E24" s="155"/>
      <c r="F24" s="155"/>
      <c r="G24" s="155"/>
      <c r="H24" s="155"/>
      <c r="I24" s="155"/>
      <c r="J24" s="155">
        <f>6382293-151508</f>
        <v>6230785</v>
      </c>
      <c r="K24" s="155"/>
      <c r="L24" s="155"/>
      <c r="M24" s="155"/>
      <c r="N24" s="155"/>
      <c r="O24" s="155"/>
      <c r="P24" s="155">
        <v>151508</v>
      </c>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f t="shared" si="0"/>
        <v>6382293</v>
      </c>
    </row>
    <row r="25" spans="1:61" ht="12.75">
      <c r="A25" s="395" t="s">
        <v>773</v>
      </c>
      <c r="B25" s="155"/>
      <c r="C25" s="155"/>
      <c r="D25" s="155"/>
      <c r="E25" s="155"/>
      <c r="F25" s="155"/>
      <c r="G25" s="155"/>
      <c r="H25" s="155"/>
      <c r="I25" s="155"/>
      <c r="J25" s="155">
        <v>277900</v>
      </c>
      <c r="K25" s="155"/>
      <c r="L25" s="155"/>
      <c r="M25" s="155"/>
      <c r="N25" s="155"/>
      <c r="O25" s="155"/>
      <c r="P25" s="155">
        <v>10000</v>
      </c>
      <c r="Q25" s="155"/>
      <c r="R25" s="155">
        <v>16172896.29</v>
      </c>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f t="shared" si="0"/>
        <v>16460796.29</v>
      </c>
    </row>
    <row r="26" spans="1:61" s="396" customFormat="1" ht="12.75">
      <c r="A26" s="395" t="s">
        <v>774</v>
      </c>
      <c r="B26" s="155"/>
      <c r="C26" s="155"/>
      <c r="D26" s="155"/>
      <c r="E26" s="155"/>
      <c r="F26" s="155"/>
      <c r="G26" s="155"/>
      <c r="H26" s="155"/>
      <c r="I26" s="155"/>
      <c r="J26" s="155"/>
      <c r="K26" s="155"/>
      <c r="L26" s="155">
        <v>461600</v>
      </c>
      <c r="M26" s="155">
        <f>16941900+1568408.2+6597107.95+4069900+3330000+6265400+1535000+24425940.8+595994-60000</f>
        <v>65269650.95</v>
      </c>
      <c r="N26" s="155"/>
      <c r="O26" s="155"/>
      <c r="P26" s="155"/>
      <c r="Q26" s="155">
        <f>75900+10548200+24400+43300+6174572.9+14678440+60000</f>
        <v>31604812.9</v>
      </c>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f t="shared" si="0"/>
        <v>97336063.85</v>
      </c>
    </row>
    <row r="27" spans="1:61" ht="12.75">
      <c r="A27" s="395" t="s">
        <v>775</v>
      </c>
      <c r="B27" s="155"/>
      <c r="C27" s="155"/>
      <c r="D27" s="155"/>
      <c r="E27" s="155"/>
      <c r="F27" s="155"/>
      <c r="G27" s="155"/>
      <c r="H27" s="155"/>
      <c r="I27" s="155"/>
      <c r="J27" s="155"/>
      <c r="K27" s="155"/>
      <c r="L27" s="155"/>
      <c r="M27" s="155"/>
      <c r="N27" s="155"/>
      <c r="O27" s="155"/>
      <c r="P27" s="155"/>
      <c r="Q27" s="155"/>
      <c r="R27" s="155">
        <v>8193383.66</v>
      </c>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f t="shared" si="0"/>
        <v>8193383.66</v>
      </c>
    </row>
    <row r="28" spans="1:61" ht="12.75">
      <c r="A28" s="395" t="s">
        <v>776</v>
      </c>
      <c r="B28" s="155"/>
      <c r="C28" s="155"/>
      <c r="D28" s="155"/>
      <c r="E28" s="155"/>
      <c r="F28" s="155"/>
      <c r="G28" s="155"/>
      <c r="H28" s="155"/>
      <c r="I28" s="155"/>
      <c r="J28" s="155"/>
      <c r="K28" s="155"/>
      <c r="L28" s="155"/>
      <c r="M28" s="155"/>
      <c r="N28" s="155">
        <f>596120+129116</f>
        <v>725236</v>
      </c>
      <c r="O28" s="155"/>
      <c r="P28" s="155"/>
      <c r="Q28" s="155"/>
      <c r="R28" s="155"/>
      <c r="S28" s="155"/>
      <c r="T28" s="155"/>
      <c r="U28" s="155"/>
      <c r="V28" s="155"/>
      <c r="W28" s="155"/>
      <c r="X28" s="155"/>
      <c r="Y28" s="155">
        <f>1150000+517828.5+686236.51+236871.5+1150000</f>
        <v>3740936.51</v>
      </c>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f t="shared" si="0"/>
        <v>4466172.51</v>
      </c>
    </row>
    <row r="29" spans="1:61" ht="12.75">
      <c r="A29" s="395" t="s">
        <v>758</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f>SUM(C29:BH29)</f>
        <v>0</v>
      </c>
    </row>
    <row r="30" spans="1:61" ht="12.75">
      <c r="A30" s="395" t="s">
        <v>766</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f>SUM(C30:BH30)</f>
        <v>0</v>
      </c>
    </row>
    <row r="31" spans="1:61" ht="12.75">
      <c r="A31" s="395" t="s">
        <v>750</v>
      </c>
      <c r="B31" s="155"/>
      <c r="C31" s="155"/>
      <c r="D31" s="155"/>
      <c r="E31" s="155"/>
      <c r="F31" s="155"/>
      <c r="G31" s="155"/>
      <c r="H31" s="155"/>
      <c r="I31" s="155"/>
      <c r="J31" s="155"/>
      <c r="K31" s="155"/>
      <c r="L31" s="155"/>
      <c r="M31" s="155"/>
      <c r="N31" s="155"/>
      <c r="O31" s="155">
        <v>1544822</v>
      </c>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f aca="true" t="shared" si="1" ref="BI31:BI36">SUM(C31:BH31)</f>
        <v>1544822</v>
      </c>
    </row>
    <row r="32" spans="1:61" ht="12.75">
      <c r="A32" s="395" t="s">
        <v>777</v>
      </c>
      <c r="B32" s="155"/>
      <c r="C32" s="155"/>
      <c r="D32" s="155"/>
      <c r="E32" s="155"/>
      <c r="F32" s="155"/>
      <c r="G32" s="155"/>
      <c r="H32" s="155"/>
      <c r="I32" s="155"/>
      <c r="J32" s="155"/>
      <c r="K32" s="155"/>
      <c r="L32" s="155"/>
      <c r="M32" s="155"/>
      <c r="N32" s="155"/>
      <c r="O32" s="155">
        <v>5763413.64</v>
      </c>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f t="shared" si="1"/>
        <v>5763413.64</v>
      </c>
    </row>
    <row r="33" spans="1:61" ht="12.75">
      <c r="A33" s="395" t="s">
        <v>94</v>
      </c>
      <c r="B33" s="155"/>
      <c r="C33" s="155"/>
      <c r="D33" s="155"/>
      <c r="E33" s="155"/>
      <c r="F33" s="155"/>
      <c r="G33" s="155"/>
      <c r="H33" s="155"/>
      <c r="I33" s="155"/>
      <c r="J33" s="155"/>
      <c r="K33" s="155"/>
      <c r="L33" s="155"/>
      <c r="M33" s="155"/>
      <c r="N33" s="155"/>
      <c r="O33" s="155">
        <v>89250</v>
      </c>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f t="shared" si="1"/>
        <v>89250</v>
      </c>
    </row>
    <row r="34" spans="1:61" ht="12.75">
      <c r="A34" s="395" t="s">
        <v>778</v>
      </c>
      <c r="B34" s="155"/>
      <c r="C34" s="155"/>
      <c r="D34" s="155"/>
      <c r="E34" s="155"/>
      <c r="F34" s="155"/>
      <c r="G34" s="155"/>
      <c r="H34" s="155"/>
      <c r="I34" s="155"/>
      <c r="J34" s="155"/>
      <c r="K34" s="155"/>
      <c r="L34" s="155"/>
      <c r="M34" s="155"/>
      <c r="N34" s="155"/>
      <c r="O34" s="155"/>
      <c r="P34" s="155"/>
      <c r="Q34" s="155"/>
      <c r="R34" s="155"/>
      <c r="S34" s="155"/>
      <c r="T34" s="155"/>
      <c r="U34" s="155"/>
      <c r="V34" s="155"/>
      <c r="W34" s="155">
        <v>329475.95</v>
      </c>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f t="shared" si="1"/>
        <v>329475.95</v>
      </c>
    </row>
    <row r="35" spans="1:61" ht="12.75">
      <c r="A35" s="395" t="s">
        <v>109</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f t="shared" si="1"/>
        <v>0</v>
      </c>
    </row>
    <row r="36" spans="1:61" ht="12.75">
      <c r="A36" s="395" t="s">
        <v>113</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f t="shared" si="1"/>
        <v>0</v>
      </c>
    </row>
    <row r="37" spans="1:61" ht="12.75">
      <c r="A37" s="395" t="s">
        <v>779</v>
      </c>
      <c r="B37" s="155"/>
      <c r="C37" s="155">
        <f aca="true" t="shared" si="2" ref="C37:BI37">SUM(C3:C36)</f>
        <v>19969682.4</v>
      </c>
      <c r="D37" s="155">
        <f t="shared" si="2"/>
        <v>13949864.2</v>
      </c>
      <c r="E37" s="155">
        <f t="shared" si="2"/>
        <v>0</v>
      </c>
      <c r="F37" s="155">
        <f t="shared" si="2"/>
        <v>27319191.12</v>
      </c>
      <c r="G37" s="155">
        <f t="shared" si="2"/>
        <v>8326322.05</v>
      </c>
      <c r="H37" s="155">
        <f t="shared" si="2"/>
        <v>367295.94999999995</v>
      </c>
      <c r="I37" s="155">
        <f t="shared" si="2"/>
        <v>0</v>
      </c>
      <c r="J37" s="155">
        <f t="shared" si="2"/>
        <v>292441462.08</v>
      </c>
      <c r="K37" s="155">
        <f t="shared" si="2"/>
        <v>1034666.67</v>
      </c>
      <c r="L37" s="155">
        <f t="shared" si="2"/>
        <v>3421747.91</v>
      </c>
      <c r="M37" s="155">
        <f t="shared" si="2"/>
        <v>65269650.95</v>
      </c>
      <c r="N37" s="155">
        <f t="shared" si="2"/>
        <v>3330367</v>
      </c>
      <c r="O37" s="155">
        <f t="shared" si="2"/>
        <v>8396485.64</v>
      </c>
      <c r="P37" s="155">
        <f t="shared" si="2"/>
        <v>161508</v>
      </c>
      <c r="Q37" s="155">
        <f t="shared" si="2"/>
        <v>31604812.9</v>
      </c>
      <c r="R37" s="155">
        <f t="shared" si="2"/>
        <v>75937083.58999999</v>
      </c>
      <c r="S37" s="155">
        <f t="shared" si="2"/>
        <v>739188</v>
      </c>
      <c r="T37" s="155">
        <f t="shared" si="2"/>
        <v>10275425.62</v>
      </c>
      <c r="U37" s="155">
        <f t="shared" si="2"/>
        <v>63846</v>
      </c>
      <c r="V37" s="155">
        <f t="shared" si="2"/>
        <v>0</v>
      </c>
      <c r="W37" s="155">
        <f t="shared" si="2"/>
        <v>329475.95</v>
      </c>
      <c r="X37" s="155">
        <f t="shared" si="2"/>
        <v>204888</v>
      </c>
      <c r="Y37" s="155">
        <f t="shared" si="2"/>
        <v>3740936.51</v>
      </c>
      <c r="Z37" s="155">
        <f t="shared" si="2"/>
        <v>1006900</v>
      </c>
      <c r="AA37" s="155">
        <f t="shared" si="2"/>
        <v>156022</v>
      </c>
      <c r="AB37" s="155">
        <f t="shared" si="2"/>
        <v>162050</v>
      </c>
      <c r="AC37" s="155">
        <f t="shared" si="2"/>
        <v>0</v>
      </c>
      <c r="AD37" s="155">
        <f t="shared" si="2"/>
        <v>0</v>
      </c>
      <c r="AE37" s="155">
        <f t="shared" si="2"/>
        <v>0</v>
      </c>
      <c r="AF37" s="155">
        <f t="shared" si="2"/>
        <v>0</v>
      </c>
      <c r="AG37" s="155">
        <f t="shared" si="2"/>
        <v>0</v>
      </c>
      <c r="AH37" s="155">
        <f t="shared" si="2"/>
        <v>0</v>
      </c>
      <c r="AI37" s="155">
        <f t="shared" si="2"/>
        <v>0</v>
      </c>
      <c r="AJ37" s="155">
        <f t="shared" si="2"/>
        <v>0</v>
      </c>
      <c r="AK37" s="155">
        <f t="shared" si="2"/>
        <v>0</v>
      </c>
      <c r="AL37" s="155">
        <f t="shared" si="2"/>
        <v>0</v>
      </c>
      <c r="AM37" s="155">
        <f t="shared" si="2"/>
        <v>0</v>
      </c>
      <c r="AN37" s="155">
        <f t="shared" si="2"/>
        <v>0</v>
      </c>
      <c r="AO37" s="155">
        <f t="shared" si="2"/>
        <v>0</v>
      </c>
      <c r="AP37" s="155">
        <f t="shared" si="2"/>
        <v>0</v>
      </c>
      <c r="AQ37" s="155">
        <f t="shared" si="2"/>
        <v>0</v>
      </c>
      <c r="AR37" s="155">
        <f t="shared" si="2"/>
        <v>0</v>
      </c>
      <c r="AS37" s="155">
        <f t="shared" si="2"/>
        <v>0</v>
      </c>
      <c r="AT37" s="155">
        <f t="shared" si="2"/>
        <v>0</v>
      </c>
      <c r="AU37" s="155">
        <f t="shared" si="2"/>
        <v>0</v>
      </c>
      <c r="AV37" s="155">
        <f t="shared" si="2"/>
        <v>0</v>
      </c>
      <c r="AW37" s="155">
        <f t="shared" si="2"/>
        <v>0</v>
      </c>
      <c r="AX37" s="155">
        <f t="shared" si="2"/>
        <v>0</v>
      </c>
      <c r="AY37" s="155">
        <f t="shared" si="2"/>
        <v>0</v>
      </c>
      <c r="AZ37" s="155">
        <f t="shared" si="2"/>
        <v>0</v>
      </c>
      <c r="BA37" s="155">
        <f t="shared" si="2"/>
        <v>0</v>
      </c>
      <c r="BB37" s="155">
        <f t="shared" si="2"/>
        <v>0</v>
      </c>
      <c r="BC37" s="155">
        <f t="shared" si="2"/>
        <v>0</v>
      </c>
      <c r="BD37" s="155">
        <f t="shared" si="2"/>
        <v>0</v>
      </c>
      <c r="BE37" s="155">
        <f t="shared" si="2"/>
        <v>0</v>
      </c>
      <c r="BF37" s="155">
        <f t="shared" si="2"/>
        <v>0</v>
      </c>
      <c r="BG37" s="155">
        <f t="shared" si="2"/>
        <v>0</v>
      </c>
      <c r="BH37" s="155">
        <f t="shared" si="2"/>
        <v>0</v>
      </c>
      <c r="BI37" s="155">
        <f t="shared" si="2"/>
        <v>568208872.54</v>
      </c>
    </row>
    <row r="38" spans="17:60" ht="12.75">
      <c r="Q38" s="399">
        <f>SUM(C37:Q37)</f>
        <v>475593056.86999995</v>
      </c>
      <c r="W38" s="400">
        <f>SUM(R37:W37)</f>
        <v>87345019.16</v>
      </c>
      <c r="AB38" s="401">
        <f>SUM(X37:AB37)</f>
        <v>5270796.51</v>
      </c>
      <c r="AC38" s="401"/>
      <c r="AQ38" s="401">
        <f>SUM(AD37:AQ37)</f>
        <v>0</v>
      </c>
      <c r="BH38" s="401">
        <f>SUM(AR37:BH37)</f>
        <v>0</v>
      </c>
    </row>
    <row r="39" ht="12.75">
      <c r="BH39" s="401">
        <f>SUM(AV37:BH37)</f>
        <v>0</v>
      </c>
    </row>
  </sheetData>
  <sheetProtection/>
  <printOptions/>
  <pageMargins left="0.31496062992125984" right="0" top="1.141732283464567" bottom="0.1968503937007874"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2:BM41"/>
  <sheetViews>
    <sheetView zoomScalePageLayoutView="0" workbookViewId="0" topLeftCell="A1">
      <pane xSplit="1" ySplit="2" topLeftCell="G6" activePane="bottomRight" state="frozen"/>
      <selection pane="topLeft" activeCell="A1" sqref="A1"/>
      <selection pane="topRight" activeCell="B1" sqref="B1"/>
      <selection pane="bottomLeft" activeCell="A3" sqref="A3"/>
      <selection pane="bottomRight" activeCell="A6" sqref="A6:IV6"/>
    </sheetView>
  </sheetViews>
  <sheetFormatPr defaultColWidth="9.140625" defaultRowHeight="12.75"/>
  <cols>
    <col min="1" max="1" width="6.00390625" style="397" customWidth="1"/>
    <col min="2" max="2" width="6.00390625" style="398" hidden="1" customWidth="1"/>
    <col min="3" max="3" width="12.140625" style="398" customWidth="1"/>
    <col min="4" max="4" width="11.421875" style="398" customWidth="1"/>
    <col min="5" max="6" width="10.57421875" style="398" customWidth="1"/>
    <col min="7" max="8" width="10.421875" style="398" customWidth="1"/>
    <col min="9" max="9" width="8.140625" style="398" customWidth="1"/>
    <col min="10" max="10" width="12.7109375" style="398" customWidth="1"/>
    <col min="11" max="11" width="11.140625" style="398" customWidth="1"/>
    <col min="12" max="12" width="10.421875" style="398" customWidth="1"/>
    <col min="13" max="13" width="12.421875" style="398" customWidth="1"/>
    <col min="14" max="14" width="8.8515625" style="398" customWidth="1"/>
    <col min="15" max="15" width="10.421875" style="398" customWidth="1"/>
    <col min="16" max="16" width="11.421875" style="398" customWidth="1"/>
    <col min="17" max="17" width="9.28125" style="398" hidden="1" customWidth="1"/>
    <col min="18" max="18" width="11.57421875" style="398" customWidth="1"/>
    <col min="19" max="19" width="11.7109375" style="156" customWidth="1"/>
    <col min="20" max="20" width="10.00390625" style="156" customWidth="1"/>
    <col min="21" max="22" width="11.8515625" style="156" customWidth="1"/>
    <col min="23" max="23" width="10.28125" style="156" customWidth="1"/>
    <col min="24" max="24" width="11.7109375" style="156" customWidth="1"/>
    <col min="25" max="25" width="10.7109375" style="156" customWidth="1"/>
    <col min="26" max="26" width="9.8515625" style="156" customWidth="1"/>
    <col min="27" max="27" width="11.57421875" style="156" customWidth="1"/>
    <col min="28" max="28" width="11.28125" style="156" customWidth="1"/>
    <col min="29" max="30" width="9.28125" style="156" customWidth="1"/>
    <col min="31" max="32" width="9.28125" style="156" hidden="1" customWidth="1"/>
    <col min="33" max="33" width="10.421875" style="156" hidden="1" customWidth="1"/>
    <col min="34" max="34" width="12.7109375" style="156" hidden="1" customWidth="1"/>
    <col min="35" max="35" width="9.28125" style="156" hidden="1" customWidth="1"/>
    <col min="36" max="36" width="8.8515625" style="156" hidden="1" customWidth="1"/>
    <col min="37" max="37" width="11.7109375" style="156" hidden="1" customWidth="1"/>
    <col min="38" max="38" width="11.140625" style="156" hidden="1" customWidth="1"/>
    <col min="39" max="39" width="10.8515625" style="156" hidden="1" customWidth="1"/>
    <col min="40" max="40" width="7.28125" style="156" hidden="1" customWidth="1"/>
    <col min="41" max="42" width="9.28125" style="156" hidden="1" customWidth="1"/>
    <col min="43" max="43" width="8.28125" style="156" hidden="1" customWidth="1"/>
    <col min="44" max="44" width="9.140625" style="156" hidden="1" customWidth="1"/>
    <col min="45" max="45" width="9.7109375" style="156" hidden="1" customWidth="1"/>
    <col min="46" max="46" width="12.8515625" style="156" hidden="1" customWidth="1"/>
    <col min="47" max="47" width="10.57421875" style="156" hidden="1" customWidth="1"/>
    <col min="48" max="49" width="11.7109375" style="156" hidden="1" customWidth="1"/>
    <col min="50" max="50" width="11.57421875" style="156" customWidth="1"/>
    <col min="51" max="51" width="11.57421875" style="156" hidden="1" customWidth="1"/>
    <col min="52" max="52" width="8.421875" style="156" customWidth="1"/>
    <col min="53" max="54" width="10.421875" style="156" hidden="1" customWidth="1"/>
    <col min="55" max="55" width="9.140625" style="156" hidden="1" customWidth="1"/>
    <col min="56" max="56" width="9.140625" style="156" customWidth="1"/>
    <col min="57" max="57" width="9.140625" style="156" hidden="1" customWidth="1"/>
    <col min="58" max="58" width="10.421875" style="156" hidden="1" customWidth="1"/>
    <col min="59" max="59" width="9.140625" style="156" hidden="1" customWidth="1"/>
    <col min="60" max="60" width="10.7109375" style="156" customWidth="1"/>
    <col min="61" max="62" width="10.421875" style="156" hidden="1" customWidth="1"/>
    <col min="63" max="63" width="11.7109375" style="156" hidden="1" customWidth="1"/>
    <col min="64" max="64" width="10.8515625" style="156" hidden="1" customWidth="1"/>
    <col min="65" max="65" width="13.57421875" style="156" customWidth="1"/>
    <col min="66" max="16384" width="9.140625" style="156" customWidth="1"/>
  </cols>
  <sheetData>
    <row r="2" spans="1:65" s="394" customFormat="1" ht="12.75">
      <c r="A2" s="392"/>
      <c r="B2" s="393"/>
      <c r="C2" s="393" t="s">
        <v>754</v>
      </c>
      <c r="D2" s="393" t="s">
        <v>758</v>
      </c>
      <c r="E2" s="393" t="s">
        <v>62</v>
      </c>
      <c r="F2" s="393" t="s">
        <v>766</v>
      </c>
      <c r="G2" s="393" t="s">
        <v>68</v>
      </c>
      <c r="H2" s="393" t="s">
        <v>761</v>
      </c>
      <c r="I2" s="393" t="s">
        <v>74</v>
      </c>
      <c r="J2" s="393" t="s">
        <v>75</v>
      </c>
      <c r="K2" s="393" t="s">
        <v>79</v>
      </c>
      <c r="L2" s="393" t="s">
        <v>759</v>
      </c>
      <c r="M2" s="393" t="s">
        <v>82</v>
      </c>
      <c r="N2" s="393" t="s">
        <v>84</v>
      </c>
      <c r="O2" s="393" t="s">
        <v>85</v>
      </c>
      <c r="P2" s="393" t="s">
        <v>87</v>
      </c>
      <c r="Q2" s="393" t="s">
        <v>89</v>
      </c>
      <c r="R2" s="393" t="s">
        <v>91</v>
      </c>
      <c r="S2" s="393" t="s">
        <v>750</v>
      </c>
      <c r="T2" s="393" t="s">
        <v>94</v>
      </c>
      <c r="U2" s="393" t="s">
        <v>95</v>
      </c>
      <c r="V2" s="393" t="s">
        <v>96</v>
      </c>
      <c r="W2" s="393" t="s">
        <v>97</v>
      </c>
      <c r="X2" s="393" t="s">
        <v>99</v>
      </c>
      <c r="Y2" s="393" t="s">
        <v>101</v>
      </c>
      <c r="Z2" s="393" t="s">
        <v>106</v>
      </c>
      <c r="AA2" s="393" t="s">
        <v>109</v>
      </c>
      <c r="AB2" s="393" t="s">
        <v>111</v>
      </c>
      <c r="AC2" s="393" t="s">
        <v>115</v>
      </c>
      <c r="AD2" s="393" t="s">
        <v>117</v>
      </c>
      <c r="AE2" s="393" t="s">
        <v>122</v>
      </c>
      <c r="AF2" s="393" t="s">
        <v>124</v>
      </c>
      <c r="AG2" s="393" t="s">
        <v>125</v>
      </c>
      <c r="AH2" s="393" t="s">
        <v>126</v>
      </c>
      <c r="AI2" s="393" t="s">
        <v>127</v>
      </c>
      <c r="AJ2" s="393" t="s">
        <v>129</v>
      </c>
      <c r="AK2" s="393" t="s">
        <v>130</v>
      </c>
      <c r="AL2" s="393" t="s">
        <v>788</v>
      </c>
      <c r="AM2" s="393" t="s">
        <v>790</v>
      </c>
      <c r="AN2" s="393" t="s">
        <v>791</v>
      </c>
      <c r="AO2" s="393" t="s">
        <v>793</v>
      </c>
      <c r="AP2" s="393" t="s">
        <v>795</v>
      </c>
      <c r="AQ2" s="393" t="s">
        <v>792</v>
      </c>
      <c r="AR2" s="393" t="s">
        <v>796</v>
      </c>
      <c r="AS2" s="393" t="s">
        <v>789</v>
      </c>
      <c r="AT2" s="393" t="s">
        <v>787</v>
      </c>
      <c r="AU2" s="393" t="s">
        <v>780</v>
      </c>
      <c r="AV2" s="393" t="s">
        <v>832</v>
      </c>
      <c r="AW2" s="393" t="s">
        <v>996</v>
      </c>
      <c r="AX2" s="393" t="s">
        <v>147</v>
      </c>
      <c r="AY2" s="393" t="s">
        <v>148</v>
      </c>
      <c r="AZ2" s="393" t="s">
        <v>149</v>
      </c>
      <c r="BA2" s="393" t="s">
        <v>783</v>
      </c>
      <c r="BB2" s="393" t="s">
        <v>151</v>
      </c>
      <c r="BC2" s="393" t="s">
        <v>153</v>
      </c>
      <c r="BD2" s="393" t="s">
        <v>1206</v>
      </c>
      <c r="BE2" s="393" t="s">
        <v>155</v>
      </c>
      <c r="BF2" s="393" t="s">
        <v>157</v>
      </c>
      <c r="BG2" s="393" t="s">
        <v>160</v>
      </c>
      <c r="BH2" s="393" t="s">
        <v>1205</v>
      </c>
      <c r="BI2" s="393" t="s">
        <v>997</v>
      </c>
      <c r="BJ2" s="393" t="s">
        <v>784</v>
      </c>
      <c r="BK2" s="393" t="s">
        <v>833</v>
      </c>
      <c r="BL2" s="393" t="s">
        <v>786</v>
      </c>
      <c r="BM2" s="393" t="s">
        <v>779</v>
      </c>
    </row>
    <row r="3" spans="1:65" ht="12.75">
      <c r="A3" s="395" t="s">
        <v>751</v>
      </c>
      <c r="B3" s="155"/>
      <c r="C3" s="155"/>
      <c r="D3" s="155"/>
      <c r="E3" s="155"/>
      <c r="F3" s="155"/>
      <c r="G3" s="155"/>
      <c r="H3" s="155"/>
      <c r="I3" s="155"/>
      <c r="J3" s="155"/>
      <c r="K3" s="155"/>
      <c r="L3" s="155"/>
      <c r="M3" s="155"/>
      <c r="N3" s="155"/>
      <c r="O3" s="155"/>
      <c r="P3" s="155"/>
      <c r="Q3" s="155"/>
      <c r="R3" s="155"/>
      <c r="S3" s="155">
        <v>2279033</v>
      </c>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f aca="true" t="shared" si="0" ref="BM3:BM30">SUM(C3:BL3)</f>
        <v>2279033</v>
      </c>
    </row>
    <row r="4" spans="1:65" ht="12.75">
      <c r="A4" s="395" t="s">
        <v>752</v>
      </c>
      <c r="B4" s="155"/>
      <c r="C4" s="155"/>
      <c r="D4" s="155"/>
      <c r="E4" s="155"/>
      <c r="F4" s="155"/>
      <c r="G4" s="155"/>
      <c r="H4" s="155"/>
      <c r="I4" s="155"/>
      <c r="J4" s="155"/>
      <c r="K4" s="155"/>
      <c r="L4" s="155"/>
      <c r="M4" s="155"/>
      <c r="N4" s="155"/>
      <c r="O4" s="155"/>
      <c r="P4" s="155"/>
      <c r="Q4" s="155"/>
      <c r="R4" s="155"/>
      <c r="S4" s="155">
        <v>1908800</v>
      </c>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f t="shared" si="0"/>
        <v>1908800</v>
      </c>
    </row>
    <row r="5" spans="1:65" ht="12.75">
      <c r="A5" s="395" t="s">
        <v>753</v>
      </c>
      <c r="B5" s="155"/>
      <c r="C5" s="155"/>
      <c r="D5" s="155"/>
      <c r="E5" s="155"/>
      <c r="F5" s="155"/>
      <c r="G5" s="155"/>
      <c r="H5" s="155"/>
      <c r="I5" s="155"/>
      <c r="J5" s="155"/>
      <c r="K5" s="155"/>
      <c r="L5" s="155"/>
      <c r="M5" s="155"/>
      <c r="N5" s="155"/>
      <c r="O5" s="155"/>
      <c r="P5" s="155"/>
      <c r="Q5" s="155"/>
      <c r="R5" s="155"/>
      <c r="S5" s="155">
        <v>50133484</v>
      </c>
      <c r="T5" s="155">
        <v>739508</v>
      </c>
      <c r="U5" s="155"/>
      <c r="V5" s="155"/>
      <c r="W5" s="155">
        <v>253000</v>
      </c>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f t="shared" si="0"/>
        <v>51125992</v>
      </c>
    </row>
    <row r="6" spans="1:65" ht="12.75">
      <c r="A6" s="395" t="s">
        <v>942</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f t="shared" si="0"/>
        <v>0</v>
      </c>
    </row>
    <row r="7" spans="1:65" ht="12.75">
      <c r="A7" s="395" t="s">
        <v>755</v>
      </c>
      <c r="B7" s="155"/>
      <c r="C7" s="155">
        <v>18802841</v>
      </c>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f t="shared" si="0"/>
        <v>18802841</v>
      </c>
    </row>
    <row r="8" spans="1:65" ht="12.75">
      <c r="A8" s="395" t="s">
        <v>1124</v>
      </c>
      <c r="B8" s="155"/>
      <c r="C8" s="155"/>
      <c r="D8" s="155"/>
      <c r="E8" s="155"/>
      <c r="F8" s="155"/>
      <c r="G8" s="155"/>
      <c r="H8" s="155"/>
      <c r="I8" s="155"/>
      <c r="J8" s="155"/>
      <c r="K8" s="155"/>
      <c r="L8" s="155"/>
      <c r="M8" s="155"/>
      <c r="N8" s="155"/>
      <c r="O8" s="155"/>
      <c r="P8" s="155"/>
      <c r="Q8" s="155"/>
      <c r="R8" s="155"/>
      <c r="S8" s="155"/>
      <c r="T8" s="155"/>
      <c r="U8" s="155"/>
      <c r="V8" s="155">
        <v>1000000</v>
      </c>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f t="shared" si="0"/>
        <v>1000000</v>
      </c>
    </row>
    <row r="9" spans="1:65" ht="12.75">
      <c r="A9" s="395" t="s">
        <v>756</v>
      </c>
      <c r="B9" s="155"/>
      <c r="C9" s="155"/>
      <c r="D9" s="155"/>
      <c r="E9" s="155"/>
      <c r="F9" s="155"/>
      <c r="G9" s="155"/>
      <c r="H9" s="155"/>
      <c r="I9" s="155"/>
      <c r="J9" s="155"/>
      <c r="K9" s="155"/>
      <c r="L9" s="155"/>
      <c r="M9" s="155"/>
      <c r="N9" s="155"/>
      <c r="O9" s="155"/>
      <c r="P9" s="155"/>
      <c r="Q9" s="155"/>
      <c r="R9" s="155"/>
      <c r="S9" s="155"/>
      <c r="T9" s="155"/>
      <c r="U9" s="155"/>
      <c r="V9" s="155"/>
      <c r="W9" s="155"/>
      <c r="X9" s="155">
        <v>4000000</v>
      </c>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f t="shared" si="0"/>
        <v>4000000</v>
      </c>
    </row>
    <row r="10" spans="1:65" ht="12.75">
      <c r="A10" s="395" t="s">
        <v>757</v>
      </c>
      <c r="B10" s="155"/>
      <c r="C10" s="155"/>
      <c r="D10" s="155">
        <f>2118300+450000</f>
        <v>2568300</v>
      </c>
      <c r="E10" s="155"/>
      <c r="F10" s="155"/>
      <c r="G10" s="155"/>
      <c r="H10" s="155">
        <f>430000</f>
        <v>430000</v>
      </c>
      <c r="I10" s="155"/>
      <c r="J10" s="155"/>
      <c r="K10" s="155"/>
      <c r="L10" s="155">
        <v>2799746</v>
      </c>
      <c r="M10" s="155"/>
      <c r="N10" s="155"/>
      <c r="O10" s="155"/>
      <c r="P10" s="155"/>
      <c r="Q10" s="155"/>
      <c r="R10" s="155"/>
      <c r="S10" s="155">
        <v>13300</v>
      </c>
      <c r="T10" s="155"/>
      <c r="U10" s="155">
        <f>1767700+8001979+160000</f>
        <v>9929679</v>
      </c>
      <c r="V10" s="155"/>
      <c r="W10" s="155"/>
      <c r="X10" s="155"/>
      <c r="Y10" s="155"/>
      <c r="Z10" s="155"/>
      <c r="AA10" s="155"/>
      <c r="AB10" s="155">
        <f>1106800</f>
        <v>1106800</v>
      </c>
      <c r="AC10" s="155">
        <f>155769+23200+15000</f>
        <v>193969</v>
      </c>
      <c r="AD10" s="155">
        <f>162050</f>
        <v>162050</v>
      </c>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f t="shared" si="0"/>
        <v>17203844</v>
      </c>
    </row>
    <row r="11" spans="1:65" ht="12.75">
      <c r="A11" s="395" t="s">
        <v>781</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f t="shared" si="0"/>
        <v>0</v>
      </c>
    </row>
    <row r="12" spans="1:65" ht="12.75">
      <c r="A12" s="395" t="s">
        <v>760</v>
      </c>
      <c r="B12" s="155"/>
      <c r="C12" s="155"/>
      <c r="D12" s="155"/>
      <c r="E12" s="155"/>
      <c r="F12" s="155"/>
      <c r="G12" s="155"/>
      <c r="H12" s="155">
        <v>1498000</v>
      </c>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f t="shared" si="0"/>
        <v>1498000</v>
      </c>
    </row>
    <row r="13" spans="1:65" ht="12.75">
      <c r="A13" s="395" t="s">
        <v>782</v>
      </c>
      <c r="B13" s="155"/>
      <c r="C13" s="155"/>
      <c r="D13" s="155"/>
      <c r="E13" s="155"/>
      <c r="F13" s="155"/>
      <c r="G13" s="155"/>
      <c r="H13" s="155">
        <v>454000</v>
      </c>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f t="shared" si="0"/>
        <v>454000</v>
      </c>
    </row>
    <row r="14" spans="1:65" ht="12.75">
      <c r="A14" s="395" t="s">
        <v>794</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f t="shared" si="0"/>
        <v>0</v>
      </c>
    </row>
    <row r="15" spans="1:65" ht="12.75">
      <c r="A15" s="395" t="s">
        <v>762</v>
      </c>
      <c r="B15" s="155"/>
      <c r="C15" s="155"/>
      <c r="D15" s="155"/>
      <c r="E15" s="155"/>
      <c r="F15" s="155"/>
      <c r="G15" s="155"/>
      <c r="H15" s="155"/>
      <c r="I15" s="155"/>
      <c r="J15" s="155"/>
      <c r="K15" s="155"/>
      <c r="L15" s="155"/>
      <c r="M15" s="155"/>
      <c r="N15" s="155"/>
      <c r="O15" s="155">
        <v>349000</v>
      </c>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f t="shared" si="0"/>
        <v>349000</v>
      </c>
    </row>
    <row r="16" spans="1:65" ht="12.75">
      <c r="A16" s="395" t="s">
        <v>763</v>
      </c>
      <c r="B16" s="155"/>
      <c r="C16" s="155"/>
      <c r="D16" s="155"/>
      <c r="E16" s="155"/>
      <c r="F16" s="155"/>
      <c r="G16" s="155"/>
      <c r="H16" s="155">
        <v>1000000</v>
      </c>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f t="shared" si="0"/>
        <v>1000000</v>
      </c>
    </row>
    <row r="17" spans="1:65" ht="12.75">
      <c r="A17" s="395" t="s">
        <v>764</v>
      </c>
      <c r="B17" s="155"/>
      <c r="C17" s="155"/>
      <c r="D17" s="155"/>
      <c r="E17" s="155"/>
      <c r="F17" s="155"/>
      <c r="G17" s="155">
        <v>6559600</v>
      </c>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f t="shared" si="0"/>
        <v>6559600</v>
      </c>
    </row>
    <row r="18" spans="1:65" ht="12.75">
      <c r="A18" s="395" t="s">
        <v>765</v>
      </c>
      <c r="B18" s="155"/>
      <c r="C18" s="155"/>
      <c r="D18" s="155"/>
      <c r="E18" s="155"/>
      <c r="F18" s="155">
        <v>3895133.01</v>
      </c>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f t="shared" si="0"/>
        <v>3895133.01</v>
      </c>
    </row>
    <row r="19" spans="1:65" ht="12.75">
      <c r="A19" s="395" t="s">
        <v>767</v>
      </c>
      <c r="B19" s="155"/>
      <c r="C19" s="155"/>
      <c r="D19" s="155"/>
      <c r="E19" s="155"/>
      <c r="F19" s="155"/>
      <c r="G19" s="155"/>
      <c r="H19" s="155"/>
      <c r="I19" s="155"/>
      <c r="J19" s="155"/>
      <c r="K19" s="155"/>
      <c r="L19" s="155"/>
      <c r="M19" s="155"/>
      <c r="N19" s="155"/>
      <c r="O19" s="155">
        <v>689500</v>
      </c>
      <c r="P19" s="155"/>
      <c r="Q19" s="155"/>
      <c r="R19" s="155"/>
      <c r="S19" s="155"/>
      <c r="T19" s="155"/>
      <c r="U19" s="155"/>
      <c r="V19" s="155"/>
      <c r="W19" s="155"/>
      <c r="X19" s="155"/>
      <c r="Y19" s="155"/>
      <c r="Z19" s="155">
        <v>373000</v>
      </c>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v>2515850.15</v>
      </c>
      <c r="BI19" s="155"/>
      <c r="BJ19" s="155"/>
      <c r="BK19" s="155"/>
      <c r="BL19" s="155"/>
      <c r="BM19" s="155">
        <f t="shared" si="0"/>
        <v>3578350.15</v>
      </c>
    </row>
    <row r="20" spans="1:65" ht="12.75">
      <c r="A20" s="395" t="s">
        <v>785</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v>94800</v>
      </c>
      <c r="BA20" s="155"/>
      <c r="BB20" s="155"/>
      <c r="BC20" s="155"/>
      <c r="BD20" s="155"/>
      <c r="BE20" s="155"/>
      <c r="BF20" s="155"/>
      <c r="BG20" s="155"/>
      <c r="BH20" s="155"/>
      <c r="BI20" s="155"/>
      <c r="BJ20" s="155"/>
      <c r="BK20" s="155"/>
      <c r="BL20" s="155"/>
      <c r="BM20" s="155">
        <f t="shared" si="0"/>
        <v>94800</v>
      </c>
    </row>
    <row r="21" spans="1:65" ht="12.75">
      <c r="A21" s="395" t="s">
        <v>768</v>
      </c>
      <c r="B21" s="155"/>
      <c r="C21" s="155"/>
      <c r="D21" s="155"/>
      <c r="E21" s="155">
        <v>2300000</v>
      </c>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f>7276465+25410100</f>
        <v>32686565</v>
      </c>
      <c r="AY21" s="155"/>
      <c r="AZ21" s="155"/>
      <c r="BA21" s="155"/>
      <c r="BB21" s="155"/>
      <c r="BC21" s="155"/>
      <c r="BD21" s="155"/>
      <c r="BE21" s="155"/>
      <c r="BF21" s="155"/>
      <c r="BG21" s="155"/>
      <c r="BH21" s="155"/>
      <c r="BI21" s="155"/>
      <c r="BJ21" s="155"/>
      <c r="BK21" s="155"/>
      <c r="BL21" s="155"/>
      <c r="BM21" s="155">
        <f t="shared" si="0"/>
        <v>34986565</v>
      </c>
    </row>
    <row r="22" spans="1:65" ht="12.75">
      <c r="A22" s="395" t="s">
        <v>769</v>
      </c>
      <c r="B22" s="155"/>
      <c r="C22" s="155"/>
      <c r="D22" s="155"/>
      <c r="E22" s="155"/>
      <c r="F22" s="155"/>
      <c r="G22" s="155"/>
      <c r="H22" s="155"/>
      <c r="I22" s="155">
        <v>30000</v>
      </c>
      <c r="J22" s="155"/>
      <c r="K22" s="155">
        <f>4070000+1770000</f>
        <v>5840000</v>
      </c>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v>100000</v>
      </c>
      <c r="BE22" s="155"/>
      <c r="BF22" s="155"/>
      <c r="BG22" s="155"/>
      <c r="BH22" s="155"/>
      <c r="BI22" s="155"/>
      <c r="BJ22" s="155"/>
      <c r="BK22" s="155"/>
      <c r="BL22" s="155"/>
      <c r="BM22" s="155">
        <f t="shared" si="0"/>
        <v>5970000</v>
      </c>
    </row>
    <row r="23" spans="1:65" ht="12.75">
      <c r="A23" s="395" t="s">
        <v>770</v>
      </c>
      <c r="B23" s="155"/>
      <c r="C23" s="155"/>
      <c r="D23" s="155"/>
      <c r="E23" s="155"/>
      <c r="F23" s="155"/>
      <c r="G23" s="155"/>
      <c r="H23" s="155"/>
      <c r="I23" s="155"/>
      <c r="J23" s="155">
        <v>88576199</v>
      </c>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f t="shared" si="0"/>
        <v>88576199</v>
      </c>
    </row>
    <row r="24" spans="1:65" ht="12.75">
      <c r="A24" s="395" t="s">
        <v>771</v>
      </c>
      <c r="B24" s="155"/>
      <c r="C24" s="155"/>
      <c r="D24" s="155"/>
      <c r="E24" s="155"/>
      <c r="F24" s="155"/>
      <c r="G24" s="155"/>
      <c r="H24" s="155"/>
      <c r="I24" s="155"/>
      <c r="J24" s="155">
        <v>160860964.66</v>
      </c>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f t="shared" si="0"/>
        <v>160860964.66</v>
      </c>
    </row>
    <row r="25" spans="1:65" ht="12.75">
      <c r="A25" s="395" t="s">
        <v>1125</v>
      </c>
      <c r="B25" s="155"/>
      <c r="C25" s="155"/>
      <c r="D25" s="155"/>
      <c r="E25" s="155"/>
      <c r="F25" s="155"/>
      <c r="G25" s="155"/>
      <c r="H25" s="155"/>
      <c r="I25" s="155"/>
      <c r="J25" s="155">
        <v>75375756</v>
      </c>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f t="shared" si="0"/>
        <v>75375756</v>
      </c>
    </row>
    <row r="26" spans="1:65" ht="12.75">
      <c r="A26" s="395" t="s">
        <v>772</v>
      </c>
      <c r="B26" s="155"/>
      <c r="C26" s="155"/>
      <c r="D26" s="155"/>
      <c r="E26" s="155"/>
      <c r="F26" s="155"/>
      <c r="G26" s="155"/>
      <c r="H26" s="155"/>
      <c r="I26" s="155"/>
      <c r="J26" s="155">
        <v>6433600</v>
      </c>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f t="shared" si="0"/>
        <v>6433600</v>
      </c>
    </row>
    <row r="27" spans="1:65" ht="12.75">
      <c r="A27" s="395" t="s">
        <v>773</v>
      </c>
      <c r="B27" s="155"/>
      <c r="C27" s="155"/>
      <c r="D27" s="155"/>
      <c r="E27" s="155"/>
      <c r="F27" s="155"/>
      <c r="G27" s="155"/>
      <c r="H27" s="155"/>
      <c r="I27" s="155"/>
      <c r="J27" s="155">
        <v>277900</v>
      </c>
      <c r="K27" s="155"/>
      <c r="L27" s="155"/>
      <c r="M27" s="155"/>
      <c r="N27" s="155"/>
      <c r="O27" s="155"/>
      <c r="P27" s="155"/>
      <c r="Q27" s="155"/>
      <c r="R27" s="155"/>
      <c r="S27" s="155">
        <v>16251552</v>
      </c>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f t="shared" si="0"/>
        <v>16529452</v>
      </c>
    </row>
    <row r="28" spans="1:65" s="396" customFormat="1" ht="12.75">
      <c r="A28" s="395" t="s">
        <v>774</v>
      </c>
      <c r="B28" s="155"/>
      <c r="C28" s="155"/>
      <c r="D28" s="155"/>
      <c r="E28" s="155"/>
      <c r="F28" s="155"/>
      <c r="G28" s="155"/>
      <c r="H28" s="155"/>
      <c r="I28" s="155"/>
      <c r="J28" s="155"/>
      <c r="K28" s="155"/>
      <c r="L28" s="155"/>
      <c r="M28" s="155">
        <f>132494703-81700-7690711-14918700-15000</f>
        <v>109788592</v>
      </c>
      <c r="N28" s="155">
        <v>81700</v>
      </c>
      <c r="O28" s="155"/>
      <c r="P28" s="155"/>
      <c r="Q28" s="155"/>
      <c r="R28" s="155">
        <f>7690711+14918700+15000</f>
        <v>22624411</v>
      </c>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f t="shared" si="0"/>
        <v>132494703</v>
      </c>
    </row>
    <row r="29" spans="1:65" ht="12.75">
      <c r="A29" s="395" t="s">
        <v>775</v>
      </c>
      <c r="B29" s="155"/>
      <c r="C29" s="155"/>
      <c r="D29" s="155"/>
      <c r="E29" s="155"/>
      <c r="F29" s="155"/>
      <c r="G29" s="155"/>
      <c r="H29" s="155"/>
      <c r="I29" s="155"/>
      <c r="J29" s="155"/>
      <c r="K29" s="155"/>
      <c r="L29" s="155"/>
      <c r="M29" s="155"/>
      <c r="N29" s="155"/>
      <c r="O29" s="155"/>
      <c r="P29" s="155"/>
      <c r="Q29" s="155"/>
      <c r="R29" s="155"/>
      <c r="S29" s="155">
        <v>7962176</v>
      </c>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f t="shared" si="0"/>
        <v>7962176</v>
      </c>
    </row>
    <row r="30" spans="1:65" ht="12.75">
      <c r="A30" s="395" t="s">
        <v>776</v>
      </c>
      <c r="B30" s="155"/>
      <c r="C30" s="155"/>
      <c r="D30" s="155"/>
      <c r="E30" s="155"/>
      <c r="F30" s="155"/>
      <c r="G30" s="155"/>
      <c r="H30" s="155"/>
      <c r="I30" s="155"/>
      <c r="J30" s="155"/>
      <c r="K30" s="155"/>
      <c r="L30" s="155"/>
      <c r="M30" s="155"/>
      <c r="N30" s="155"/>
      <c r="O30" s="155">
        <v>733428</v>
      </c>
      <c r="P30" s="155"/>
      <c r="Q30" s="155"/>
      <c r="R30" s="155"/>
      <c r="S30" s="155"/>
      <c r="T30" s="155"/>
      <c r="U30" s="155"/>
      <c r="V30" s="155"/>
      <c r="W30" s="155"/>
      <c r="X30" s="155"/>
      <c r="Y30" s="155"/>
      <c r="Z30" s="155"/>
      <c r="AA30" s="155">
        <v>4443900</v>
      </c>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f t="shared" si="0"/>
        <v>5177328</v>
      </c>
    </row>
    <row r="31" spans="1:65" ht="12.75">
      <c r="A31" s="395" t="s">
        <v>758</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f>SUM(C31:BL31)</f>
        <v>0</v>
      </c>
    </row>
    <row r="32" spans="1:65" ht="12.75">
      <c r="A32" s="395" t="s">
        <v>766</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f>SUM(C32:BL32)</f>
        <v>0</v>
      </c>
    </row>
    <row r="33" spans="1:65" ht="12.75">
      <c r="A33" s="395" t="s">
        <v>750</v>
      </c>
      <c r="B33" s="155"/>
      <c r="C33" s="155"/>
      <c r="D33" s="155"/>
      <c r="E33" s="155"/>
      <c r="F33" s="155"/>
      <c r="G33" s="155"/>
      <c r="H33" s="155"/>
      <c r="I33" s="155"/>
      <c r="J33" s="155"/>
      <c r="K33" s="155"/>
      <c r="L33" s="155"/>
      <c r="M33" s="155"/>
      <c r="N33" s="155"/>
      <c r="O33" s="155"/>
      <c r="P33" s="155">
        <v>1938185</v>
      </c>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f aca="true" t="shared" si="1" ref="BM33:BM38">SUM(C33:BL33)</f>
        <v>1938185</v>
      </c>
    </row>
    <row r="34" spans="1:65" ht="12.75">
      <c r="A34" s="395" t="s">
        <v>777</v>
      </c>
      <c r="B34" s="155"/>
      <c r="C34" s="155"/>
      <c r="D34" s="155"/>
      <c r="E34" s="155"/>
      <c r="F34" s="155"/>
      <c r="G34" s="155"/>
      <c r="H34" s="155"/>
      <c r="I34" s="155"/>
      <c r="J34" s="155"/>
      <c r="K34" s="155"/>
      <c r="L34" s="155"/>
      <c r="M34" s="155"/>
      <c r="N34" s="155"/>
      <c r="O34" s="155"/>
      <c r="P34" s="155">
        <v>26468600</v>
      </c>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f t="shared" si="1"/>
        <v>26468600</v>
      </c>
    </row>
    <row r="35" spans="1:65" ht="12.75">
      <c r="A35" s="395" t="s">
        <v>94</v>
      </c>
      <c r="B35" s="155"/>
      <c r="C35" s="155"/>
      <c r="D35" s="155"/>
      <c r="E35" s="155"/>
      <c r="F35" s="155"/>
      <c r="G35" s="155"/>
      <c r="H35" s="155"/>
      <c r="I35" s="155"/>
      <c r="J35" s="155"/>
      <c r="K35" s="155"/>
      <c r="L35" s="155"/>
      <c r="M35" s="155"/>
      <c r="N35" s="155"/>
      <c r="O35" s="155"/>
      <c r="P35" s="155">
        <v>113400</v>
      </c>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f t="shared" si="1"/>
        <v>113400</v>
      </c>
    </row>
    <row r="36" spans="1:65" ht="12.75">
      <c r="A36" s="395" t="s">
        <v>778</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v>200000</v>
      </c>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f t="shared" si="1"/>
        <v>200000</v>
      </c>
    </row>
    <row r="37" spans="1:65" ht="12.75">
      <c r="A37" s="395" t="s">
        <v>109</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f t="shared" si="1"/>
        <v>0</v>
      </c>
    </row>
    <row r="38" spans="1:65" ht="12.75">
      <c r="A38" s="395" t="s">
        <v>113</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f t="shared" si="1"/>
        <v>0</v>
      </c>
    </row>
    <row r="39" spans="1:65" ht="12.75">
      <c r="A39" s="395" t="s">
        <v>779</v>
      </c>
      <c r="B39" s="155"/>
      <c r="C39" s="155">
        <f aca="true" t="shared" si="2" ref="C39:BM39">SUM(C3:C38)</f>
        <v>18802841</v>
      </c>
      <c r="D39" s="155">
        <f t="shared" si="2"/>
        <v>2568300</v>
      </c>
      <c r="E39" s="155">
        <f t="shared" si="2"/>
        <v>2300000</v>
      </c>
      <c r="F39" s="155">
        <f t="shared" si="2"/>
        <v>3895133.01</v>
      </c>
      <c r="G39" s="155">
        <f t="shared" si="2"/>
        <v>6559600</v>
      </c>
      <c r="H39" s="155">
        <f t="shared" si="2"/>
        <v>3382000</v>
      </c>
      <c r="I39" s="155">
        <f t="shared" si="2"/>
        <v>30000</v>
      </c>
      <c r="J39" s="155">
        <f t="shared" si="2"/>
        <v>331524419.65999997</v>
      </c>
      <c r="K39" s="155">
        <f t="shared" si="2"/>
        <v>5840000</v>
      </c>
      <c r="L39" s="155">
        <f t="shared" si="2"/>
        <v>2799746</v>
      </c>
      <c r="M39" s="155">
        <f t="shared" si="2"/>
        <v>109788592</v>
      </c>
      <c r="N39" s="155">
        <f t="shared" si="2"/>
        <v>81700</v>
      </c>
      <c r="O39" s="155">
        <f t="shared" si="2"/>
        <v>1771928</v>
      </c>
      <c r="P39" s="155">
        <f t="shared" si="2"/>
        <v>28520185</v>
      </c>
      <c r="Q39" s="155">
        <f t="shared" si="2"/>
        <v>0</v>
      </c>
      <c r="R39" s="155">
        <f t="shared" si="2"/>
        <v>22624411</v>
      </c>
      <c r="S39" s="155">
        <f t="shared" si="2"/>
        <v>78548345</v>
      </c>
      <c r="T39" s="155">
        <f t="shared" si="2"/>
        <v>739508</v>
      </c>
      <c r="U39" s="155">
        <f t="shared" si="2"/>
        <v>9929679</v>
      </c>
      <c r="V39" s="155">
        <f t="shared" si="2"/>
        <v>1000000</v>
      </c>
      <c r="W39" s="155">
        <f t="shared" si="2"/>
        <v>253000</v>
      </c>
      <c r="X39" s="155">
        <f t="shared" si="2"/>
        <v>4000000</v>
      </c>
      <c r="Y39" s="155">
        <f t="shared" si="2"/>
        <v>200000</v>
      </c>
      <c r="Z39" s="155">
        <f t="shared" si="2"/>
        <v>373000</v>
      </c>
      <c r="AA39" s="155">
        <f t="shared" si="2"/>
        <v>4443900</v>
      </c>
      <c r="AB39" s="155">
        <f t="shared" si="2"/>
        <v>1106800</v>
      </c>
      <c r="AC39" s="155">
        <f t="shared" si="2"/>
        <v>193969</v>
      </c>
      <c r="AD39" s="155">
        <f t="shared" si="2"/>
        <v>162050</v>
      </c>
      <c r="AE39" s="155">
        <f t="shared" si="2"/>
        <v>0</v>
      </c>
      <c r="AF39" s="155">
        <f t="shared" si="2"/>
        <v>0</v>
      </c>
      <c r="AG39" s="155">
        <f t="shared" si="2"/>
        <v>0</v>
      </c>
      <c r="AH39" s="155">
        <f t="shared" si="2"/>
        <v>0</v>
      </c>
      <c r="AI39" s="155">
        <f t="shared" si="2"/>
        <v>0</v>
      </c>
      <c r="AJ39" s="155">
        <f t="shared" si="2"/>
        <v>0</v>
      </c>
      <c r="AK39" s="155">
        <f t="shared" si="2"/>
        <v>0</v>
      </c>
      <c r="AL39" s="155">
        <f t="shared" si="2"/>
        <v>0</v>
      </c>
      <c r="AM39" s="155">
        <f t="shared" si="2"/>
        <v>0</v>
      </c>
      <c r="AN39" s="155">
        <f t="shared" si="2"/>
        <v>0</v>
      </c>
      <c r="AO39" s="155">
        <f t="shared" si="2"/>
        <v>0</v>
      </c>
      <c r="AP39" s="155">
        <f t="shared" si="2"/>
        <v>0</v>
      </c>
      <c r="AQ39" s="155">
        <f t="shared" si="2"/>
        <v>0</v>
      </c>
      <c r="AR39" s="155">
        <f t="shared" si="2"/>
        <v>0</v>
      </c>
      <c r="AS39" s="155">
        <f t="shared" si="2"/>
        <v>0</v>
      </c>
      <c r="AT39" s="155">
        <f t="shared" si="2"/>
        <v>0</v>
      </c>
      <c r="AU39" s="155">
        <f t="shared" si="2"/>
        <v>0</v>
      </c>
      <c r="AV39" s="155">
        <f t="shared" si="2"/>
        <v>0</v>
      </c>
      <c r="AW39" s="155">
        <f t="shared" si="2"/>
        <v>0</v>
      </c>
      <c r="AX39" s="155">
        <f t="shared" si="2"/>
        <v>32686565</v>
      </c>
      <c r="AY39" s="155">
        <f t="shared" si="2"/>
        <v>0</v>
      </c>
      <c r="AZ39" s="155">
        <f t="shared" si="2"/>
        <v>94800</v>
      </c>
      <c r="BA39" s="155">
        <f t="shared" si="2"/>
        <v>0</v>
      </c>
      <c r="BB39" s="155">
        <f t="shared" si="2"/>
        <v>0</v>
      </c>
      <c r="BC39" s="155">
        <f t="shared" si="2"/>
        <v>0</v>
      </c>
      <c r="BD39" s="155">
        <f t="shared" si="2"/>
        <v>100000</v>
      </c>
      <c r="BE39" s="155">
        <f t="shared" si="2"/>
        <v>0</v>
      </c>
      <c r="BF39" s="155">
        <f t="shared" si="2"/>
        <v>0</v>
      </c>
      <c r="BG39" s="155">
        <f t="shared" si="2"/>
        <v>0</v>
      </c>
      <c r="BH39" s="155">
        <f t="shared" si="2"/>
        <v>2515850.15</v>
      </c>
      <c r="BI39" s="155">
        <f t="shared" si="2"/>
        <v>0</v>
      </c>
      <c r="BJ39" s="155">
        <f t="shared" si="2"/>
        <v>0</v>
      </c>
      <c r="BK39" s="155">
        <f t="shared" si="2"/>
        <v>0</v>
      </c>
      <c r="BL39" s="155">
        <f t="shared" si="2"/>
        <v>0</v>
      </c>
      <c r="BM39" s="155">
        <f t="shared" si="2"/>
        <v>676836321.82</v>
      </c>
    </row>
    <row r="40" spans="18:64" ht="12.75">
      <c r="R40" s="399">
        <f>SUM(C39:R39)</f>
        <v>540488855.67</v>
      </c>
      <c r="Y40" s="400">
        <f>SUM(S39:Y39)</f>
        <v>94670532</v>
      </c>
      <c r="AD40" s="401">
        <f>SUM(Z39:AD39)</f>
        <v>6279719</v>
      </c>
      <c r="AE40" s="401"/>
      <c r="AS40" s="401">
        <f>SUM(AF39:AS39)</f>
        <v>0</v>
      </c>
      <c r="BL40" s="401">
        <f>SUM(AT39:BL39)</f>
        <v>35397215.15</v>
      </c>
    </row>
    <row r="41" ht="12.75">
      <c r="BL41" s="401">
        <f>SUM(AX39:BL39)</f>
        <v>35397215.15</v>
      </c>
    </row>
  </sheetData>
  <sheetProtection/>
  <printOptions/>
  <pageMargins left="0.31496062992125984" right="0" top="1.141732283464567" bottom="0.1968503937007874" header="0.31496062992125984" footer="0.31496062992125984"/>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2:BL41"/>
  <sheetViews>
    <sheetView zoomScalePageLayoutView="0" workbookViewId="0" topLeftCell="A1">
      <pane xSplit="1" ySplit="2" topLeftCell="AU3" activePane="bottomRight" state="frozen"/>
      <selection pane="topLeft" activeCell="A1" sqref="A1"/>
      <selection pane="topRight" activeCell="B1" sqref="B1"/>
      <selection pane="bottomLeft" activeCell="A3" sqref="A3"/>
      <selection pane="bottomRight" activeCell="BL39" sqref="BL39"/>
    </sheetView>
  </sheetViews>
  <sheetFormatPr defaultColWidth="9.140625" defaultRowHeight="12.75"/>
  <cols>
    <col min="1" max="1" width="6.00390625" style="397" customWidth="1"/>
    <col min="2" max="2" width="12.140625" style="398" customWidth="1"/>
    <col min="3" max="3" width="11.421875" style="398" customWidth="1"/>
    <col min="4" max="5" width="10.57421875" style="398" customWidth="1"/>
    <col min="6" max="7" width="10.421875" style="398" customWidth="1"/>
    <col min="8" max="8" width="8.140625" style="398" customWidth="1"/>
    <col min="9" max="9" width="12.7109375" style="398" customWidth="1"/>
    <col min="10" max="10" width="11.140625" style="398" customWidth="1"/>
    <col min="11" max="11" width="10.421875" style="398" customWidth="1"/>
    <col min="12" max="12" width="12.421875" style="398" customWidth="1"/>
    <col min="13" max="13" width="8.8515625" style="398" customWidth="1"/>
    <col min="14" max="14" width="10.421875" style="398" customWidth="1"/>
    <col min="15" max="15" width="11.421875" style="398" customWidth="1"/>
    <col min="16" max="16" width="9.28125" style="398" customWidth="1"/>
    <col min="17" max="17" width="11.57421875" style="398" customWidth="1"/>
    <col min="18" max="18" width="11.7109375" style="156" customWidth="1"/>
    <col min="19" max="19" width="10.00390625" style="156" customWidth="1"/>
    <col min="20" max="21" width="11.8515625" style="156" customWidth="1"/>
    <col min="22" max="22" width="10.28125" style="156" customWidth="1"/>
    <col min="23" max="23" width="11.7109375" style="156" customWidth="1"/>
    <col min="24" max="24" width="10.7109375" style="156" customWidth="1"/>
    <col min="25" max="25" width="9.8515625" style="156" customWidth="1"/>
    <col min="26" max="26" width="11.57421875" style="156" customWidth="1"/>
    <col min="27" max="27" width="11.28125" style="156" customWidth="1"/>
    <col min="28" max="31" width="9.28125" style="156" customWidth="1"/>
    <col min="32" max="32" width="10.421875" style="156" customWidth="1"/>
    <col min="33" max="33" width="12.7109375" style="156" customWidth="1"/>
    <col min="34" max="34" width="9.28125" style="156" customWidth="1"/>
    <col min="35" max="35" width="8.8515625" style="156" customWidth="1"/>
    <col min="36" max="36" width="11.7109375" style="156" customWidth="1"/>
    <col min="37" max="37" width="11.140625" style="156" customWidth="1"/>
    <col min="38" max="38" width="10.8515625" style="156" customWidth="1"/>
    <col min="39" max="39" width="7.28125" style="156" customWidth="1"/>
    <col min="40" max="41" width="9.28125" style="156" customWidth="1"/>
    <col min="42" max="42" width="8.28125" style="156" customWidth="1"/>
    <col min="43" max="43" width="9.140625" style="156" customWidth="1"/>
    <col min="44" max="44" width="9.7109375" style="156" customWidth="1"/>
    <col min="45" max="45" width="12.8515625" style="156" customWidth="1"/>
    <col min="46" max="46" width="10.57421875" style="156" customWidth="1"/>
    <col min="47" max="48" width="11.7109375" style="156" customWidth="1"/>
    <col min="49" max="50" width="11.57421875" style="156" customWidth="1"/>
    <col min="51" max="51" width="8.421875" style="156" customWidth="1"/>
    <col min="52" max="53" width="10.421875" style="156" customWidth="1"/>
    <col min="54" max="56" width="9.140625" style="156" customWidth="1"/>
    <col min="57" max="57" width="10.421875" style="156" customWidth="1"/>
    <col min="58" max="58" width="9.140625" style="156" customWidth="1"/>
    <col min="59" max="59" width="10.7109375" style="156" customWidth="1"/>
    <col min="60" max="61" width="10.421875" style="156" customWidth="1"/>
    <col min="62" max="62" width="11.7109375" style="156" customWidth="1"/>
    <col min="63" max="63" width="10.8515625" style="156" customWidth="1"/>
    <col min="64" max="64" width="13.57421875" style="156" customWidth="1"/>
    <col min="65" max="16384" width="9.140625" style="156" customWidth="1"/>
  </cols>
  <sheetData>
    <row r="2" spans="1:64" s="394" customFormat="1" ht="12.75">
      <c r="A2" s="392"/>
      <c r="B2" s="393" t="s">
        <v>754</v>
      </c>
      <c r="C2" s="393" t="s">
        <v>758</v>
      </c>
      <c r="D2" s="393" t="s">
        <v>62</v>
      </c>
      <c r="E2" s="393" t="s">
        <v>766</v>
      </c>
      <c r="F2" s="393" t="s">
        <v>68</v>
      </c>
      <c r="G2" s="393" t="s">
        <v>761</v>
      </c>
      <c r="H2" s="393" t="s">
        <v>74</v>
      </c>
      <c r="I2" s="393" t="s">
        <v>75</v>
      </c>
      <c r="J2" s="393" t="s">
        <v>79</v>
      </c>
      <c r="K2" s="393" t="s">
        <v>759</v>
      </c>
      <c r="L2" s="393" t="s">
        <v>82</v>
      </c>
      <c r="M2" s="393" t="s">
        <v>84</v>
      </c>
      <c r="N2" s="393" t="s">
        <v>85</v>
      </c>
      <c r="O2" s="393" t="s">
        <v>87</v>
      </c>
      <c r="P2" s="393" t="s">
        <v>89</v>
      </c>
      <c r="Q2" s="393" t="s">
        <v>91</v>
      </c>
      <c r="R2" s="393" t="s">
        <v>750</v>
      </c>
      <c r="S2" s="393" t="s">
        <v>94</v>
      </c>
      <c r="T2" s="393" t="s">
        <v>95</v>
      </c>
      <c r="U2" s="393" t="s">
        <v>96</v>
      </c>
      <c r="V2" s="393" t="s">
        <v>97</v>
      </c>
      <c r="W2" s="393" t="s">
        <v>99</v>
      </c>
      <c r="X2" s="393" t="s">
        <v>101</v>
      </c>
      <c r="Y2" s="393" t="s">
        <v>106</v>
      </c>
      <c r="Z2" s="393" t="s">
        <v>109</v>
      </c>
      <c r="AA2" s="393" t="s">
        <v>111</v>
      </c>
      <c r="AB2" s="393" t="s">
        <v>115</v>
      </c>
      <c r="AC2" s="393" t="s">
        <v>117</v>
      </c>
      <c r="AD2" s="393" t="s">
        <v>122</v>
      </c>
      <c r="AE2" s="393" t="s">
        <v>124</v>
      </c>
      <c r="AF2" s="393" t="s">
        <v>125</v>
      </c>
      <c r="AG2" s="393" t="s">
        <v>126</v>
      </c>
      <c r="AH2" s="393" t="s">
        <v>127</v>
      </c>
      <c r="AI2" s="393" t="s">
        <v>129</v>
      </c>
      <c r="AJ2" s="393" t="s">
        <v>130</v>
      </c>
      <c r="AK2" s="393" t="s">
        <v>788</v>
      </c>
      <c r="AL2" s="393" t="s">
        <v>790</v>
      </c>
      <c r="AM2" s="393" t="s">
        <v>791</v>
      </c>
      <c r="AN2" s="393" t="s">
        <v>793</v>
      </c>
      <c r="AO2" s="393" t="s">
        <v>795</v>
      </c>
      <c r="AP2" s="393" t="s">
        <v>792</v>
      </c>
      <c r="AQ2" s="393" t="s">
        <v>796</v>
      </c>
      <c r="AR2" s="393" t="s">
        <v>789</v>
      </c>
      <c r="AS2" s="393" t="s">
        <v>787</v>
      </c>
      <c r="AT2" s="393" t="s">
        <v>780</v>
      </c>
      <c r="AU2" s="393" t="s">
        <v>832</v>
      </c>
      <c r="AV2" s="393" t="s">
        <v>996</v>
      </c>
      <c r="AW2" s="393" t="s">
        <v>147</v>
      </c>
      <c r="AX2" s="393" t="s">
        <v>148</v>
      </c>
      <c r="AY2" s="393" t="s">
        <v>149</v>
      </c>
      <c r="AZ2" s="393" t="s">
        <v>783</v>
      </c>
      <c r="BA2" s="393" t="s">
        <v>151</v>
      </c>
      <c r="BB2" s="393" t="s">
        <v>153</v>
      </c>
      <c r="BC2" s="393" t="s">
        <v>1206</v>
      </c>
      <c r="BD2" s="393" t="s">
        <v>155</v>
      </c>
      <c r="BE2" s="393" t="s">
        <v>157</v>
      </c>
      <c r="BF2" s="393" t="s">
        <v>160</v>
      </c>
      <c r="BG2" s="393" t="s">
        <v>1205</v>
      </c>
      <c r="BH2" s="393" t="s">
        <v>997</v>
      </c>
      <c r="BI2" s="393" t="s">
        <v>784</v>
      </c>
      <c r="BJ2" s="393" t="s">
        <v>833</v>
      </c>
      <c r="BK2" s="393" t="s">
        <v>786</v>
      </c>
      <c r="BL2" s="393" t="s">
        <v>779</v>
      </c>
    </row>
    <row r="3" spans="1:64" ht="12.75">
      <c r="A3" s="395" t="s">
        <v>751</v>
      </c>
      <c r="B3" s="155"/>
      <c r="C3" s="155"/>
      <c r="D3" s="155"/>
      <c r="E3" s="155"/>
      <c r="F3" s="155"/>
      <c r="G3" s="155"/>
      <c r="H3" s="155"/>
      <c r="I3" s="155"/>
      <c r="J3" s="155"/>
      <c r="K3" s="155"/>
      <c r="L3" s="155"/>
      <c r="M3" s="155"/>
      <c r="N3" s="155"/>
      <c r="O3" s="155"/>
      <c r="P3" s="155"/>
      <c r="Q3" s="155"/>
      <c r="R3" s="155">
        <f>2279</f>
        <v>2279</v>
      </c>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f aca="true" t="shared" si="0" ref="BL3:BL30">SUM(B3:BK3)</f>
        <v>2279</v>
      </c>
    </row>
    <row r="4" spans="1:64" ht="12.75">
      <c r="A4" s="395" t="s">
        <v>752</v>
      </c>
      <c r="B4" s="155"/>
      <c r="C4" s="155"/>
      <c r="D4" s="155"/>
      <c r="E4" s="155"/>
      <c r="F4" s="155"/>
      <c r="G4" s="155"/>
      <c r="H4" s="155"/>
      <c r="I4" s="155"/>
      <c r="J4" s="155"/>
      <c r="K4" s="155"/>
      <c r="L4" s="155"/>
      <c r="M4" s="155"/>
      <c r="N4" s="155"/>
      <c r="O4" s="155"/>
      <c r="P4" s="155"/>
      <c r="Q4" s="155"/>
      <c r="R4" s="155">
        <f>1907</f>
        <v>1907</v>
      </c>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f t="shared" si="0"/>
        <v>1907</v>
      </c>
    </row>
    <row r="5" spans="1:64" ht="12.75">
      <c r="A5" s="395" t="s">
        <v>753</v>
      </c>
      <c r="B5" s="155"/>
      <c r="C5" s="155"/>
      <c r="D5" s="155"/>
      <c r="E5" s="155"/>
      <c r="F5" s="155"/>
      <c r="G5" s="155"/>
      <c r="H5" s="155"/>
      <c r="I5" s="155"/>
      <c r="J5" s="155"/>
      <c r="K5" s="155"/>
      <c r="L5" s="155"/>
      <c r="M5" s="155"/>
      <c r="N5" s="155"/>
      <c r="O5" s="155"/>
      <c r="P5" s="155"/>
      <c r="Q5" s="155"/>
      <c r="R5" s="155">
        <f>49393.3</f>
        <v>49393.3</v>
      </c>
      <c r="S5" s="155">
        <f>739.5</f>
        <v>739.5</v>
      </c>
      <c r="T5" s="155"/>
      <c r="U5" s="155"/>
      <c r="V5" s="155">
        <f>253</f>
        <v>253</v>
      </c>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f t="shared" si="0"/>
        <v>50385.8</v>
      </c>
    </row>
    <row r="6" spans="1:64" ht="12.75">
      <c r="A6" s="395" t="s">
        <v>942</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f t="shared" si="0"/>
        <v>0</v>
      </c>
    </row>
    <row r="7" spans="1:64" ht="12.75">
      <c r="A7" s="395" t="s">
        <v>755</v>
      </c>
      <c r="B7" s="155">
        <f>3623.4+15114.7</f>
        <v>18738.100000000002</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f t="shared" si="0"/>
        <v>18738.100000000002</v>
      </c>
    </row>
    <row r="8" spans="1:64" ht="12.75">
      <c r="A8" s="395" t="s">
        <v>1124</v>
      </c>
      <c r="B8" s="155"/>
      <c r="C8" s="155"/>
      <c r="D8" s="155"/>
      <c r="E8" s="155"/>
      <c r="F8" s="155"/>
      <c r="G8" s="155"/>
      <c r="H8" s="155"/>
      <c r="I8" s="155"/>
      <c r="J8" s="155"/>
      <c r="K8" s="155"/>
      <c r="L8" s="155"/>
      <c r="M8" s="155"/>
      <c r="N8" s="155"/>
      <c r="O8" s="155"/>
      <c r="P8" s="155"/>
      <c r="Q8" s="155"/>
      <c r="R8" s="155"/>
      <c r="S8" s="155"/>
      <c r="T8" s="155"/>
      <c r="U8" s="155">
        <v>0</v>
      </c>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f t="shared" si="0"/>
        <v>0</v>
      </c>
    </row>
    <row r="9" spans="1:64" ht="12.75">
      <c r="A9" s="395" t="s">
        <v>756</v>
      </c>
      <c r="B9" s="155"/>
      <c r="C9" s="155"/>
      <c r="D9" s="155"/>
      <c r="E9" s="155"/>
      <c r="F9" s="155"/>
      <c r="G9" s="155"/>
      <c r="H9" s="155"/>
      <c r="I9" s="155"/>
      <c r="J9" s="155"/>
      <c r="K9" s="155"/>
      <c r="L9" s="155"/>
      <c r="M9" s="155"/>
      <c r="N9" s="155"/>
      <c r="O9" s="155"/>
      <c r="P9" s="155"/>
      <c r="Q9" s="155"/>
      <c r="R9" s="155"/>
      <c r="S9" s="155"/>
      <c r="T9" s="155"/>
      <c r="U9" s="155"/>
      <c r="V9" s="155"/>
      <c r="W9" s="155">
        <v>4000</v>
      </c>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f t="shared" si="0"/>
        <v>4000</v>
      </c>
    </row>
    <row r="10" spans="1:64" ht="12.75">
      <c r="A10" s="395" t="s">
        <v>757</v>
      </c>
      <c r="B10" s="155"/>
      <c r="C10" s="155">
        <v>2118.3</v>
      </c>
      <c r="D10" s="155"/>
      <c r="E10" s="155"/>
      <c r="F10" s="155"/>
      <c r="G10" s="155">
        <f>100</f>
        <v>100</v>
      </c>
      <c r="H10" s="155"/>
      <c r="I10" s="155"/>
      <c r="J10" s="155"/>
      <c r="K10" s="155">
        <v>2791.3</v>
      </c>
      <c r="L10" s="155"/>
      <c r="M10" s="155"/>
      <c r="N10" s="155"/>
      <c r="O10" s="155"/>
      <c r="P10" s="155"/>
      <c r="Q10" s="155"/>
      <c r="R10" s="155"/>
      <c r="S10" s="155"/>
      <c r="T10" s="155">
        <f>1767.7+7869.4+160</f>
        <v>9797.1</v>
      </c>
      <c r="U10" s="155"/>
      <c r="V10" s="155"/>
      <c r="W10" s="155"/>
      <c r="X10" s="155"/>
      <c r="Y10" s="155"/>
      <c r="Z10" s="155"/>
      <c r="AA10" s="155">
        <v>1106.8</v>
      </c>
      <c r="AB10" s="155">
        <f>15+155.8+23.2</f>
        <v>194</v>
      </c>
      <c r="AC10" s="155">
        <v>162.1</v>
      </c>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f t="shared" si="0"/>
        <v>16269.6</v>
      </c>
    </row>
    <row r="11" spans="1:64" ht="12.75">
      <c r="A11" s="395" t="s">
        <v>781</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f t="shared" si="0"/>
        <v>0</v>
      </c>
    </row>
    <row r="12" spans="1:64" ht="12.75">
      <c r="A12" s="395" t="s">
        <v>760</v>
      </c>
      <c r="B12" s="155"/>
      <c r="C12" s="155"/>
      <c r="D12" s="155"/>
      <c r="E12" s="155"/>
      <c r="F12" s="155"/>
      <c r="G12" s="155">
        <f>210+20</f>
        <v>230</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f t="shared" si="0"/>
        <v>230</v>
      </c>
    </row>
    <row r="13" spans="1:64" ht="12.75">
      <c r="A13" s="395" t="s">
        <v>782</v>
      </c>
      <c r="B13" s="155"/>
      <c r="C13" s="155"/>
      <c r="D13" s="155"/>
      <c r="E13" s="155"/>
      <c r="F13" s="155"/>
      <c r="G13" s="155">
        <f>400</f>
        <v>400</v>
      </c>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f t="shared" si="0"/>
        <v>400</v>
      </c>
    </row>
    <row r="14" spans="1:64" ht="12.75">
      <c r="A14" s="395" t="s">
        <v>794</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f t="shared" si="0"/>
        <v>0</v>
      </c>
    </row>
    <row r="15" spans="1:64" ht="12.75">
      <c r="A15" s="395" t="s">
        <v>762</v>
      </c>
      <c r="B15" s="155"/>
      <c r="C15" s="155"/>
      <c r="D15" s="155"/>
      <c r="E15" s="155"/>
      <c r="F15" s="155"/>
      <c r="G15" s="155"/>
      <c r="H15" s="155"/>
      <c r="I15" s="155"/>
      <c r="J15" s="155"/>
      <c r="K15" s="155"/>
      <c r="L15" s="155"/>
      <c r="M15" s="155"/>
      <c r="N15" s="155">
        <f>349</f>
        <v>349</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f t="shared" si="0"/>
        <v>349</v>
      </c>
    </row>
    <row r="16" spans="1:64" ht="12.75">
      <c r="A16" s="395" t="s">
        <v>763</v>
      </c>
      <c r="B16" s="155"/>
      <c r="C16" s="155"/>
      <c r="D16" s="155"/>
      <c r="E16" s="155"/>
      <c r="F16" s="155"/>
      <c r="G16" s="155">
        <f>1000</f>
        <v>1000</v>
      </c>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f t="shared" si="0"/>
        <v>1000</v>
      </c>
    </row>
    <row r="17" spans="1:64" ht="12.75">
      <c r="A17" s="395" t="s">
        <v>764</v>
      </c>
      <c r="B17" s="155"/>
      <c r="C17" s="155"/>
      <c r="D17" s="155"/>
      <c r="E17" s="155"/>
      <c r="F17" s="155">
        <v>6370.4</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f t="shared" si="0"/>
        <v>6370.4</v>
      </c>
    </row>
    <row r="18" spans="1:64" ht="12.75">
      <c r="A18" s="395" t="s">
        <v>765</v>
      </c>
      <c r="B18" s="155"/>
      <c r="C18" s="155"/>
      <c r="D18" s="155"/>
      <c r="E18" s="155">
        <v>3289.3</v>
      </c>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v>12900</v>
      </c>
      <c r="AY18" s="155"/>
      <c r="AZ18" s="155"/>
      <c r="BA18" s="155"/>
      <c r="BB18" s="155"/>
      <c r="BC18" s="155"/>
      <c r="BD18" s="155"/>
      <c r="BE18" s="155"/>
      <c r="BF18" s="155"/>
      <c r="BG18" s="155"/>
      <c r="BH18" s="155"/>
      <c r="BI18" s="155"/>
      <c r="BJ18" s="155"/>
      <c r="BK18" s="155"/>
      <c r="BL18" s="155">
        <f t="shared" si="0"/>
        <v>16189.3</v>
      </c>
    </row>
    <row r="19" spans="1:64" ht="12.75">
      <c r="A19" s="395" t="s">
        <v>767</v>
      </c>
      <c r="B19" s="155"/>
      <c r="C19" s="155"/>
      <c r="D19" s="155"/>
      <c r="E19" s="155"/>
      <c r="F19" s="155"/>
      <c r="G19" s="155"/>
      <c r="H19" s="155"/>
      <c r="I19" s="155"/>
      <c r="J19" s="155"/>
      <c r="K19" s="155"/>
      <c r="L19" s="155"/>
      <c r="M19" s="155"/>
      <c r="N19" s="155">
        <v>739.5</v>
      </c>
      <c r="O19" s="155"/>
      <c r="P19" s="155"/>
      <c r="Q19" s="155"/>
      <c r="R19" s="155"/>
      <c r="S19" s="155"/>
      <c r="T19" s="155"/>
      <c r="U19" s="155"/>
      <c r="V19" s="155"/>
      <c r="W19" s="155"/>
      <c r="X19" s="155"/>
      <c r="Y19" s="155">
        <v>1272.9</v>
      </c>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f t="shared" si="0"/>
        <v>2012.4</v>
      </c>
    </row>
    <row r="20" spans="1:64" ht="12.75">
      <c r="A20" s="395" t="s">
        <v>785</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f t="shared" si="0"/>
        <v>0</v>
      </c>
    </row>
    <row r="21" spans="1:64" ht="12.75">
      <c r="A21" s="395" t="s">
        <v>768</v>
      </c>
      <c r="B21" s="155"/>
      <c r="C21" s="155"/>
      <c r="D21" s="155">
        <v>12910.2</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f t="shared" si="0"/>
        <v>12910.2</v>
      </c>
    </row>
    <row r="22" spans="1:64" ht="12.75">
      <c r="A22" s="395" t="s">
        <v>769</v>
      </c>
      <c r="B22" s="155"/>
      <c r="C22" s="155"/>
      <c r="D22" s="155"/>
      <c r="E22" s="155"/>
      <c r="F22" s="155"/>
      <c r="G22" s="155"/>
      <c r="H22" s="155">
        <v>30</v>
      </c>
      <c r="I22" s="155"/>
      <c r="J22" s="155">
        <f>3041.1-30</f>
        <v>3011.1</v>
      </c>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f t="shared" si="0"/>
        <v>3041.1</v>
      </c>
    </row>
    <row r="23" spans="1:64" ht="12.75">
      <c r="A23" s="395" t="s">
        <v>770</v>
      </c>
      <c r="B23" s="155"/>
      <c r="C23" s="155"/>
      <c r="D23" s="155"/>
      <c r="E23" s="155"/>
      <c r="F23" s="155"/>
      <c r="G23" s="155"/>
      <c r="H23" s="155"/>
      <c r="I23" s="155">
        <v>56931.9</v>
      </c>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f t="shared" si="0"/>
        <v>56931.9</v>
      </c>
    </row>
    <row r="24" spans="1:64" ht="12.75">
      <c r="A24" s="395" t="s">
        <v>771</v>
      </c>
      <c r="B24" s="155"/>
      <c r="C24" s="155"/>
      <c r="D24" s="155"/>
      <c r="E24" s="155"/>
      <c r="F24" s="155"/>
      <c r="G24" s="155"/>
      <c r="H24" s="155"/>
      <c r="I24" s="155">
        <v>88433.4</v>
      </c>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f t="shared" si="0"/>
        <v>88433.4</v>
      </c>
    </row>
    <row r="25" spans="1:64" ht="12.75">
      <c r="A25" s="395" t="s">
        <v>1125</v>
      </c>
      <c r="B25" s="155"/>
      <c r="C25" s="155"/>
      <c r="D25" s="155"/>
      <c r="E25" s="155"/>
      <c r="F25" s="155"/>
      <c r="G25" s="155"/>
      <c r="H25" s="155"/>
      <c r="I25" s="155">
        <v>43717.6</v>
      </c>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f t="shared" si="0"/>
        <v>43717.6</v>
      </c>
    </row>
    <row r="26" spans="1:64" ht="12.75">
      <c r="A26" s="395" t="s">
        <v>772</v>
      </c>
      <c r="B26" s="155"/>
      <c r="C26" s="155"/>
      <c r="D26" s="155"/>
      <c r="E26" s="155"/>
      <c r="F26" s="155"/>
      <c r="G26" s="155"/>
      <c r="H26" s="155"/>
      <c r="I26" s="155">
        <v>2104.6</v>
      </c>
      <c r="J26" s="155"/>
      <c r="K26" s="155"/>
      <c r="L26" s="155"/>
      <c r="M26" s="155"/>
      <c r="N26" s="155"/>
      <c r="O26" s="155"/>
      <c r="P26" s="155">
        <v>370</v>
      </c>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f t="shared" si="0"/>
        <v>2474.6</v>
      </c>
    </row>
    <row r="27" spans="1:64" ht="12.75">
      <c r="A27" s="395" t="s">
        <v>773</v>
      </c>
      <c r="B27" s="155"/>
      <c r="C27" s="155"/>
      <c r="D27" s="155"/>
      <c r="E27" s="155"/>
      <c r="F27" s="155"/>
      <c r="G27" s="155"/>
      <c r="H27" s="155"/>
      <c r="I27" s="155">
        <v>277.9</v>
      </c>
      <c r="J27" s="155"/>
      <c r="K27" s="155"/>
      <c r="L27" s="155"/>
      <c r="M27" s="155"/>
      <c r="N27" s="155"/>
      <c r="O27" s="155"/>
      <c r="P27" s="155"/>
      <c r="Q27" s="155"/>
      <c r="R27" s="155">
        <v>16205.2</v>
      </c>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f t="shared" si="0"/>
        <v>16483.100000000002</v>
      </c>
    </row>
    <row r="28" spans="1:64" s="396" customFormat="1" ht="12.75">
      <c r="A28" s="395" t="s">
        <v>774</v>
      </c>
      <c r="B28" s="155"/>
      <c r="C28" s="155"/>
      <c r="D28" s="155"/>
      <c r="E28" s="155"/>
      <c r="F28" s="155"/>
      <c r="G28" s="155"/>
      <c r="H28" s="155"/>
      <c r="I28" s="155"/>
      <c r="J28" s="155"/>
      <c r="K28" s="155"/>
      <c r="L28" s="155">
        <f>67804.2-7026.4</f>
        <v>60777.799999999996</v>
      </c>
      <c r="M28" s="155"/>
      <c r="N28" s="155"/>
      <c r="O28" s="155"/>
      <c r="P28" s="155"/>
      <c r="Q28" s="155">
        <v>7026.4</v>
      </c>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f t="shared" si="0"/>
        <v>67804.2</v>
      </c>
    </row>
    <row r="29" spans="1:64" ht="12.75">
      <c r="A29" s="395" t="s">
        <v>775</v>
      </c>
      <c r="B29" s="155"/>
      <c r="C29" s="155"/>
      <c r="D29" s="155"/>
      <c r="E29" s="155"/>
      <c r="F29" s="155"/>
      <c r="G29" s="155"/>
      <c r="H29" s="155"/>
      <c r="I29" s="155"/>
      <c r="J29" s="155"/>
      <c r="K29" s="155"/>
      <c r="L29" s="155"/>
      <c r="M29" s="155"/>
      <c r="N29" s="155"/>
      <c r="O29" s="155"/>
      <c r="P29" s="155"/>
      <c r="Q29" s="155"/>
      <c r="R29" s="155">
        <v>7944.1</v>
      </c>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f t="shared" si="0"/>
        <v>7944.1</v>
      </c>
    </row>
    <row r="30" spans="1:64" ht="12.75">
      <c r="A30" s="395" t="s">
        <v>776</v>
      </c>
      <c r="B30" s="155"/>
      <c r="C30" s="155"/>
      <c r="D30" s="155"/>
      <c r="E30" s="155"/>
      <c r="F30" s="155"/>
      <c r="G30" s="155"/>
      <c r="H30" s="155"/>
      <c r="I30" s="155"/>
      <c r="J30" s="155"/>
      <c r="K30" s="155"/>
      <c r="L30" s="155"/>
      <c r="M30" s="155"/>
      <c r="N30" s="155">
        <v>400</v>
      </c>
      <c r="O30" s="155"/>
      <c r="P30" s="155"/>
      <c r="Q30" s="155"/>
      <c r="R30" s="155"/>
      <c r="S30" s="155"/>
      <c r="T30" s="155"/>
      <c r="U30" s="155"/>
      <c r="V30" s="155"/>
      <c r="W30" s="155"/>
      <c r="X30" s="155"/>
      <c r="Y30" s="155"/>
      <c r="Z30" s="155">
        <v>3394</v>
      </c>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f t="shared" si="0"/>
        <v>3794</v>
      </c>
    </row>
    <row r="31" spans="1:64" ht="12.75">
      <c r="A31" s="395" t="s">
        <v>758</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f>SUM(B31:BK31)</f>
        <v>0</v>
      </c>
    </row>
    <row r="32" spans="1:64" ht="12.75">
      <c r="A32" s="395" t="s">
        <v>766</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f>SUM(B32:BK32)</f>
        <v>0</v>
      </c>
    </row>
    <row r="33" spans="1:64" ht="12.75">
      <c r="A33" s="395" t="s">
        <v>750</v>
      </c>
      <c r="B33" s="155"/>
      <c r="C33" s="155"/>
      <c r="D33" s="155"/>
      <c r="E33" s="155"/>
      <c r="F33" s="155"/>
      <c r="G33" s="155"/>
      <c r="H33" s="155"/>
      <c r="I33" s="155"/>
      <c r="J33" s="155"/>
      <c r="K33" s="155"/>
      <c r="L33" s="155"/>
      <c r="M33" s="155"/>
      <c r="N33" s="155"/>
      <c r="O33" s="155">
        <v>1461.4</v>
      </c>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f aca="true" t="shared" si="1" ref="BL33:BL38">SUM(B33:BK33)</f>
        <v>1461.4</v>
      </c>
    </row>
    <row r="34" spans="1:64" ht="12.75">
      <c r="A34" s="395" t="s">
        <v>777</v>
      </c>
      <c r="B34" s="155"/>
      <c r="C34" s="155"/>
      <c r="D34" s="155"/>
      <c r="E34" s="155"/>
      <c r="F34" s="155"/>
      <c r="G34" s="155"/>
      <c r="H34" s="155"/>
      <c r="I34" s="155"/>
      <c r="J34" s="155"/>
      <c r="K34" s="155"/>
      <c r="L34" s="155"/>
      <c r="M34" s="155"/>
      <c r="N34" s="155"/>
      <c r="O34" s="155">
        <v>7387.3</v>
      </c>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f t="shared" si="1"/>
        <v>7387.3</v>
      </c>
    </row>
    <row r="35" spans="1:64" ht="12.75">
      <c r="A35" s="395" t="s">
        <v>94</v>
      </c>
      <c r="B35" s="155"/>
      <c r="C35" s="155"/>
      <c r="D35" s="155"/>
      <c r="E35" s="155"/>
      <c r="F35" s="155"/>
      <c r="G35" s="155"/>
      <c r="H35" s="155"/>
      <c r="I35" s="155"/>
      <c r="J35" s="155"/>
      <c r="K35" s="155"/>
      <c r="L35" s="155"/>
      <c r="M35" s="155"/>
      <c r="N35" s="155"/>
      <c r="O35" s="155">
        <v>4.3</v>
      </c>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f t="shared" si="1"/>
        <v>4.3</v>
      </c>
    </row>
    <row r="36" spans="1:64" ht="12.75">
      <c r="A36" s="395" t="s">
        <v>778</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f t="shared" si="1"/>
        <v>0</v>
      </c>
    </row>
    <row r="37" spans="1:64" ht="12.75">
      <c r="A37" s="395" t="s">
        <v>109</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v>55782.3</v>
      </c>
      <c r="AT37" s="155"/>
      <c r="AU37" s="155"/>
      <c r="AV37" s="155"/>
      <c r="AW37" s="155"/>
      <c r="AX37" s="155"/>
      <c r="AY37" s="155"/>
      <c r="AZ37" s="155"/>
      <c r="BA37" s="155"/>
      <c r="BB37" s="155"/>
      <c r="BC37" s="155"/>
      <c r="BD37" s="155"/>
      <c r="BE37" s="155"/>
      <c r="BF37" s="155"/>
      <c r="BG37" s="155"/>
      <c r="BH37" s="155"/>
      <c r="BI37" s="155"/>
      <c r="BJ37" s="155"/>
      <c r="BK37" s="155"/>
      <c r="BL37" s="155">
        <f t="shared" si="1"/>
        <v>55782.3</v>
      </c>
    </row>
    <row r="38" spans="1:64" ht="12.75">
      <c r="A38" s="395" t="s">
        <v>113</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v>53273.3</v>
      </c>
      <c r="BK38" s="155"/>
      <c r="BL38" s="155">
        <f t="shared" si="1"/>
        <v>53273.3</v>
      </c>
    </row>
    <row r="39" spans="1:64" ht="12.75">
      <c r="A39" s="395" t="s">
        <v>779</v>
      </c>
      <c r="B39" s="155">
        <f aca="true" t="shared" si="2" ref="B39:BL39">SUM(B3:B38)</f>
        <v>18738.100000000002</v>
      </c>
      <c r="C39" s="155">
        <f t="shared" si="2"/>
        <v>2118.3</v>
      </c>
      <c r="D39" s="155">
        <f t="shared" si="2"/>
        <v>12910.2</v>
      </c>
      <c r="E39" s="155">
        <f t="shared" si="2"/>
        <v>3289.3</v>
      </c>
      <c r="F39" s="155">
        <f t="shared" si="2"/>
        <v>6370.4</v>
      </c>
      <c r="G39" s="155">
        <f t="shared" si="2"/>
        <v>1730</v>
      </c>
      <c r="H39" s="155">
        <f t="shared" si="2"/>
        <v>30</v>
      </c>
      <c r="I39" s="155">
        <f t="shared" si="2"/>
        <v>191465.4</v>
      </c>
      <c r="J39" s="155">
        <f t="shared" si="2"/>
        <v>3011.1</v>
      </c>
      <c r="K39" s="155">
        <f t="shared" si="2"/>
        <v>2791.3</v>
      </c>
      <c r="L39" s="155">
        <f t="shared" si="2"/>
        <v>60777.799999999996</v>
      </c>
      <c r="M39" s="155">
        <f t="shared" si="2"/>
        <v>0</v>
      </c>
      <c r="N39" s="155">
        <f t="shared" si="2"/>
        <v>1488.5</v>
      </c>
      <c r="O39" s="155">
        <f t="shared" si="2"/>
        <v>8853</v>
      </c>
      <c r="P39" s="155">
        <f t="shared" si="2"/>
        <v>370</v>
      </c>
      <c r="Q39" s="155">
        <f t="shared" si="2"/>
        <v>7026.4</v>
      </c>
      <c r="R39" s="155">
        <f t="shared" si="2"/>
        <v>77728.6</v>
      </c>
      <c r="S39" s="155">
        <f t="shared" si="2"/>
        <v>739.5</v>
      </c>
      <c r="T39" s="155">
        <f t="shared" si="2"/>
        <v>9797.1</v>
      </c>
      <c r="U39" s="155">
        <f t="shared" si="2"/>
        <v>0</v>
      </c>
      <c r="V39" s="155">
        <f t="shared" si="2"/>
        <v>253</v>
      </c>
      <c r="W39" s="155">
        <f t="shared" si="2"/>
        <v>4000</v>
      </c>
      <c r="X39" s="155">
        <f t="shared" si="2"/>
        <v>0</v>
      </c>
      <c r="Y39" s="155">
        <f t="shared" si="2"/>
        <v>1272.9</v>
      </c>
      <c r="Z39" s="155">
        <f t="shared" si="2"/>
        <v>3394</v>
      </c>
      <c r="AA39" s="155">
        <f t="shared" si="2"/>
        <v>1106.8</v>
      </c>
      <c r="AB39" s="155">
        <f t="shared" si="2"/>
        <v>194</v>
      </c>
      <c r="AC39" s="155">
        <f t="shared" si="2"/>
        <v>162.1</v>
      </c>
      <c r="AD39" s="155">
        <f t="shared" si="2"/>
        <v>0</v>
      </c>
      <c r="AE39" s="155">
        <f t="shared" si="2"/>
        <v>0</v>
      </c>
      <c r="AF39" s="155">
        <f t="shared" si="2"/>
        <v>0</v>
      </c>
      <c r="AG39" s="155">
        <f t="shared" si="2"/>
        <v>0</v>
      </c>
      <c r="AH39" s="155">
        <f t="shared" si="2"/>
        <v>0</v>
      </c>
      <c r="AI39" s="155">
        <f t="shared" si="2"/>
        <v>0</v>
      </c>
      <c r="AJ39" s="155">
        <f t="shared" si="2"/>
        <v>0</v>
      </c>
      <c r="AK39" s="155">
        <f t="shared" si="2"/>
        <v>0</v>
      </c>
      <c r="AL39" s="155">
        <f t="shared" si="2"/>
        <v>0</v>
      </c>
      <c r="AM39" s="155">
        <f t="shared" si="2"/>
        <v>0</v>
      </c>
      <c r="AN39" s="155">
        <f t="shared" si="2"/>
        <v>0</v>
      </c>
      <c r="AO39" s="155">
        <f t="shared" si="2"/>
        <v>0</v>
      </c>
      <c r="AP39" s="155">
        <f t="shared" si="2"/>
        <v>0</v>
      </c>
      <c r="AQ39" s="155">
        <f t="shared" si="2"/>
        <v>0</v>
      </c>
      <c r="AR39" s="155">
        <f t="shared" si="2"/>
        <v>0</v>
      </c>
      <c r="AS39" s="155">
        <f t="shared" si="2"/>
        <v>55782.3</v>
      </c>
      <c r="AT39" s="155">
        <f t="shared" si="2"/>
        <v>0</v>
      </c>
      <c r="AU39" s="155">
        <f t="shared" si="2"/>
        <v>0</v>
      </c>
      <c r="AV39" s="155">
        <f t="shared" si="2"/>
        <v>0</v>
      </c>
      <c r="AW39" s="155">
        <f t="shared" si="2"/>
        <v>0</v>
      </c>
      <c r="AX39" s="155">
        <f t="shared" si="2"/>
        <v>12900</v>
      </c>
      <c r="AY39" s="155">
        <f t="shared" si="2"/>
        <v>0</v>
      </c>
      <c r="AZ39" s="155">
        <f t="shared" si="2"/>
        <v>0</v>
      </c>
      <c r="BA39" s="155">
        <f t="shared" si="2"/>
        <v>0</v>
      </c>
      <c r="BB39" s="155">
        <f t="shared" si="2"/>
        <v>0</v>
      </c>
      <c r="BC39" s="155">
        <f t="shared" si="2"/>
        <v>0</v>
      </c>
      <c r="BD39" s="155">
        <f t="shared" si="2"/>
        <v>0</v>
      </c>
      <c r="BE39" s="155">
        <f t="shared" si="2"/>
        <v>0</v>
      </c>
      <c r="BF39" s="155">
        <f t="shared" si="2"/>
        <v>0</v>
      </c>
      <c r="BG39" s="155">
        <f t="shared" si="2"/>
        <v>0</v>
      </c>
      <c r="BH39" s="155">
        <f t="shared" si="2"/>
        <v>0</v>
      </c>
      <c r="BI39" s="155">
        <f t="shared" si="2"/>
        <v>0</v>
      </c>
      <c r="BJ39" s="155">
        <f t="shared" si="2"/>
        <v>53273.3</v>
      </c>
      <c r="BK39" s="155">
        <f t="shared" si="2"/>
        <v>0</v>
      </c>
      <c r="BL39" s="155">
        <f t="shared" si="2"/>
        <v>541573.3999999999</v>
      </c>
    </row>
    <row r="40" spans="17:63" ht="12.75">
      <c r="Q40" s="399">
        <f>SUM(B39:Q39)</f>
        <v>320969.80000000005</v>
      </c>
      <c r="X40" s="400">
        <f>SUM(R39:X39)</f>
        <v>92518.20000000001</v>
      </c>
      <c r="AC40" s="401">
        <f>SUM(Y39:AC39)</f>
        <v>6129.8</v>
      </c>
      <c r="AD40" s="401"/>
      <c r="AR40" s="401">
        <f>SUM(AE39:AR39)</f>
        <v>0</v>
      </c>
      <c r="BK40" s="401">
        <f>SUM(AS39:BK39)</f>
        <v>121955.6</v>
      </c>
    </row>
    <row r="41" ht="12.75">
      <c r="BK41" s="401">
        <f>SUM(AW39:BK39)</f>
        <v>66173.3</v>
      </c>
    </row>
  </sheetData>
  <sheetProtection/>
  <printOptions/>
  <pageMargins left="0.31496062992125984" right="0" top="1.141732283464567" bottom="0.1968503937007874" header="0.31496062992125984" footer="0.31496062992125984"/>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2016-03-29T09:23:23Z</dcterms:created>
  <dcterms:modified xsi:type="dcterms:W3CDTF">2017-06-15T08:08:53Z</dcterms:modified>
  <cp:category/>
  <cp:version/>
  <cp:contentType/>
  <cp:contentStatus/>
</cp:coreProperties>
</file>