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0" activeTab="0"/>
  </bookViews>
  <sheets>
    <sheet name="Район на 01.01.2012" sheetId="1" r:id="rId1"/>
    <sheet name="ИМБТ посел 2011" sheetId="2" r:id="rId2"/>
  </sheets>
  <definedNames>
    <definedName name="_xlnm._FilterDatabase" localSheetId="1" hidden="1">'ИМБТ посел 2011'!$A$3:$G$179</definedName>
    <definedName name="_xlnm._FilterDatabase" localSheetId="0" hidden="1">'Район на 01.01.2012'!$A$4:$R$285</definedName>
    <definedName name="_xlnm.Print_Area" localSheetId="1">'ИМБТ посел 2011'!$A$1:$H$179</definedName>
  </definedNames>
  <calcPr fullCalcOnLoad="1"/>
</workbook>
</file>

<file path=xl/sharedStrings.xml><?xml version="1.0" encoding="utf-8"?>
<sst xmlns="http://schemas.openxmlformats.org/spreadsheetml/2006/main" count="2123" uniqueCount="1205">
  <si>
    <t xml:space="preserve">п.4 Программы </t>
  </si>
  <si>
    <t>Решение Думы Колпашевского района от 10.12.2008 № 578 " О бюджете муниципального образования "Колпашевский район" на 2009 год" (в редакции от 18.06.2009 № 665)</t>
  </si>
  <si>
    <t>Решение Думы Колпашевского района от 10.12.2008 № 578 " О бюджете муниципального образования "Колпашевский район" на 2009 год" (в редакции  от 28.08.2009 № 688)</t>
  </si>
  <si>
    <t>Иные межбюджетные трансферты на осуществление расчёта с ОАО "Монтажкомплект"за выполненные аварийно-восстановительные работы работы оборудования котельной "Лазо" г. Колпашево, ул. Крылова, 9 (в соответствии с распоряжением Администрации ТО от 25.01.2010 № 42-ра) за счёт средств субсидии</t>
  </si>
  <si>
    <t>Расходы за счет субсидии на обеспечение жильем молодых семей  на обеспечение специалистов, проживающих в сельской местности (по федеральной целевой программе "Социальное развитие села до 2010 года")</t>
  </si>
  <si>
    <t xml:space="preserve">п. 1-3; п. 2-3 Положения </t>
  </si>
  <si>
    <t>Расходы на выплату стипендии Губернатора ТО лучшим учителям МОУ ТО за счет средств ИМБТ из областного бюджета</t>
  </si>
  <si>
    <t>Решение Думы Колпашевского района от 24.05.2010 № 840 "О порядке использования средств ИМБТ на выплату в 2010 году стипендии Губернатора Томской области лучшим учителям МОУ"</t>
  </si>
  <si>
    <t xml:space="preserve"> Решение Думы Колпашевского района  от 24.03.2008 № 447 "О порядке использования средств субсидии из областногобюджета на финансирование расходов, связанных с обеспечением условий для развития физической культуры и массового  спорта на территории муниципального образования "колпашевский район" (в редакции от 27.10.2008 № 549)</t>
  </si>
  <si>
    <t>Решение Думы Колпашевского района  от 10.12.2008 № 578" О бюджете муниципального образования "Колпашевский район" на 2009 год" (в редакции  от 18.06.2009 № 665)</t>
  </si>
  <si>
    <t>2.1.</t>
  </si>
  <si>
    <t>Расходы на реализацию мер по улучшению жилищных условий граждан, проживающих в сельской местности</t>
  </si>
  <si>
    <t>2011 год</t>
  </si>
  <si>
    <t>Расходы на оплату членских взносов Ассоциации "Совет муниципальных образований Томской области"</t>
  </si>
  <si>
    <t>Решение Думы Колпашевского района от 28.10.2009 № 717 "Об использовании средств местного бюджета на финансирование расходов, связанных с проведением экспертизы при осуществлении лицензирования образовательной деятельности муниципальных образовательных учреждений Колпашевского района"</t>
  </si>
  <si>
    <t>01.01.2010, не установлен</t>
  </si>
  <si>
    <t>0709</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</si>
  <si>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t>
  </si>
  <si>
    <t>Постановление Главы Колпашевского района от 16.05.2008 № 406 "Об утверждении Порядка использования бюджетных ассигнований резервного фонда Администрации Колпашевского района" (в редакции от 12.09.2008 № 820, от 19.01.2009 № 12)</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</si>
  <si>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</si>
  <si>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Расходы на частичную компенсацию расходов граждан, проживающим на территории г.Колпашево и с.Тогур Колпашевского района, на газификацию жилья</t>
  </si>
  <si>
    <t>Решение Думы Колпашевского района от 17.06.2010 № 865 "О порядке расходования средств на газификацию жилья г.Колпашево и с.Тогур"</t>
  </si>
  <si>
    <t>17.06.2010-31.12.2011</t>
  </si>
  <si>
    <t>01.05.2010-31.12.2010</t>
  </si>
  <si>
    <t>Решение Думы Колпашевского района от 10.12.2008 № 578 "О бюджете муниципального образования "Колпашевский район" на 2009 год", решение Думы Колпашевского районаот 27.03.2009 № 631 "О порядке использования средств субсидии на комплектование книжных фондов библиотек муниципальных образований  в Колпашевском районе"</t>
  </si>
  <si>
    <t xml:space="preserve">Закон Томской области от 14 июня 2000 г. N 24-ОЗ "О государственной молодежной политике в Томской области" </t>
  </si>
  <si>
    <t>гл. 5</t>
  </si>
  <si>
    <t>30.06.2000, не установлен</t>
  </si>
  <si>
    <t>Гл.3, ст.15</t>
  </si>
  <si>
    <t xml:space="preserve">О компенсации расходов на питание учащимся из малообеспеченных семей </t>
  </si>
  <si>
    <t>п.1-3</t>
  </si>
  <si>
    <t>2.1.10.</t>
  </si>
  <si>
    <t>владение, пользование и распоряжение имуществом, находящимся в муниципальной собственности муниципального района</t>
  </si>
  <si>
    <t>Расходы на организацию и содержание мест захоронения отходов</t>
  </si>
  <si>
    <t>0503</t>
  </si>
  <si>
    <t>0702</t>
  </si>
  <si>
    <t>2.1.30.</t>
  </si>
  <si>
    <t>Решение Думы Колпашевского района от 10.12.2008 № 578" О бюджете муниципального образования "Колпашевский район" на 2009 год" (в редакции от 28.08.2009 № 688);  решения Думы Колпашевского района от 16.01.2009 № 593 "О порядке использования средств субсидии  на компенсацию расходов по организации электроснабжения от дизельных электростанций в муниципальном образовании "Колпашевский район" в 2009 году"</t>
  </si>
  <si>
    <t>Решение Думы Колпашевского района от  08.09.2008 № 536 "О компенсации расходов по организации теплоснабжения  энергоснабжающими организациями, использующими в качестве топлива нефть или мазут (в редакции от 21.09.2009 № 710)</t>
  </si>
  <si>
    <t>Компенсация расходов по оплате стоимости проезда и провоза багажа, в пределах РФ, к месту использования отпуска и обратно</t>
  </si>
  <si>
    <t>Решение Думы Колпашевского района от 28.02.2006 № 82 "О вступлении в Совет Муниципальных образований Томской области" (в редакции от 22.12.2006 № 255, от 26.02.2010 № 814 )</t>
  </si>
  <si>
    <t>Иные межбюджетные трансферты на теплотрассы к зданию МОУ "СОШ № 1"</t>
  </si>
  <si>
    <t>Иные межбюджетные трансферты на ремонт крыши котельной "НГСС"</t>
  </si>
  <si>
    <t>Иные межбюджетные трансферты на подготовку объектов ЖКХ, находящихся в муниципальной собственности Новоселовского поселения, к зиме</t>
  </si>
  <si>
    <t>Иные межбюджетные трансферты на ремонт системы водоснабжения к зданию МОУ "СОШ № 1"</t>
  </si>
  <si>
    <t>Иные межбюджетные трансферты на организацию системы теплоснабжения в доме культуры с.Новоильинка</t>
  </si>
  <si>
    <t>Иные межбюджетные трансферты на строительство сетей электроснабжения по ул. Дзержинского г.Колпашево</t>
  </si>
  <si>
    <t>Иные межбюджетные трансферты на проектирование и строительство газораспределительных сетей многоквартирных домов</t>
  </si>
  <si>
    <t>Иные межбюджетные трансферты на приобретение нового двигателя на автомобиль УАЗ-3154</t>
  </si>
  <si>
    <t>Иные межбюджетные трансферты на подготовку к пятой летней межпоселенческой спартакиаде в с. Инкино</t>
  </si>
  <si>
    <t>Иные межбюджетные трансферты на расходы, связанные с организацией дополнительного освещения помещений Новоселовского сельского дома культуры</t>
  </si>
  <si>
    <t>Иные межбюджетные трансферты на ремонт муниципального жилья поселений Колпашевского района</t>
  </si>
  <si>
    <t>Иные межбюджетные трансферты на приобретение затворов на станцию обезжелезивания г.Колпашево</t>
  </si>
  <si>
    <t>Иные межбюджетные трансферты на укрепление материально-технической базы МУ "Центр культуры и досуга" (в соответствии с распоряжением Администрации ТО от 22.04.2010 № 24-р-в) за счет средств субсидии</t>
  </si>
  <si>
    <t>Иные межбюджетные трансферты на введение новых систем оплат труда работников муниципальных бюджетных учреждений за счет средств иных межбюджетных трансфертов</t>
  </si>
  <si>
    <t xml:space="preserve">Иные межбюджетные трансферты на осуществление полномочий по первичному воинскому учету на территориях, где отсутствуют военные коммиссариаты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</si>
  <si>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</si>
  <si>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2.1.6.</t>
  </si>
  <si>
    <t>Наименование субсидий и субвенций</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</si>
  <si>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</si>
  <si>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</si>
  <si>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</si>
  <si>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</si>
  <si>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</si>
  <si>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 xml:space="preserve">п.3-4 Порядка </t>
  </si>
  <si>
    <t xml:space="preserve">16.05.2008, не установлен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</si>
  <si>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</si>
  <si>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формирование, утверждение, исполнение бюджета муниципального района, контроль за исполнением данного бюджета</t>
  </si>
  <si>
    <t>01.03.2010-31.12.2010</t>
  </si>
  <si>
    <t>Расходы  на ремонт и (или) переустройство жилых помещений участников ВОв 1941-1945 годов, лиц, награждённых знаком "Жителю блокадного Ленинграда", бывших несовершеннолетних узников концлагерей, признанных инвалидами, вдов погибших (умерших) участников ВОв 1941-1945 годов, не вступивших в повторный брак</t>
  </si>
  <si>
    <t>Оказание первичной медико-санитарной помощи, медицинской помощи женщинам в период беременности, во время и после родов и скорой медицинской помощи (за исключением санитарно-авиационной) на территории Колпашевского района</t>
  </si>
  <si>
    <t>Расходы, связанные с ликвидацией МУ "Специальный дом для ветеранов войны и труда, семей пожилого возраста и инвалидов"</t>
  </si>
  <si>
    <t xml:space="preserve">п.2-3 Положения </t>
  </si>
  <si>
    <t>31.10.2006, не установлен</t>
  </si>
  <si>
    <t>п.6 Программы</t>
  </si>
  <si>
    <t>2.1.1.</t>
  </si>
  <si>
    <t>ст. 3,5</t>
  </si>
  <si>
    <t>08.05.2006, вводиться ежегодно ЗТО "Об областном бюджете на очередной финансовый год"</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</si>
  <si>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</si>
  <si>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01.06.07, не установлен</t>
  </si>
  <si>
    <t>01.01.2006, не установлен</t>
  </si>
  <si>
    <t>Федеральный Закон от 06.10.2003 № 131-ФЗ "Об общих принципах организации местного самоуправления"</t>
  </si>
  <si>
    <t>16.10.2003, не установлен</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</si>
  <si>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</si>
  <si>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п.6-7</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</si>
  <si>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</si>
  <si>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</si>
  <si>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</si>
  <si>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</si>
  <si>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</si>
  <si>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</si>
  <si>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</si>
  <si>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</si>
  <si>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вводиться ежегодно ЗТО "Об областном бюджете на очередной финансовый год"</t>
  </si>
  <si>
    <t>Расходы на проведение мероприятий для детей и молодежи</t>
  </si>
  <si>
    <t>2.4.</t>
  </si>
  <si>
    <t>2.1.24.</t>
  </si>
  <si>
    <t>Гл.3, ст.15, п.1, п.п.7</t>
  </si>
  <si>
    <t>Гл.3, ст.15, п.1, п.п.12</t>
  </si>
  <si>
    <t>Гл.3, ст.15, п.1, п.п.20</t>
  </si>
  <si>
    <t>Гл.3, ст.15, п.1, п.п.26</t>
  </si>
  <si>
    <t>Гл.3, ст.15, п.1, п.п.27</t>
  </si>
  <si>
    <t>Решение Думы Колпашевскогорайона от 13.02.2009 № 615 "О распределении и порядке использования средств иных межбюджетных трансфертов за счет субсидии областного бюджета и иных межбюджетных трансфертов из бюджета муниципального образования "Колпашевский район"на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РФ между бюджетами поселений Колпашевского района"</t>
  </si>
  <si>
    <t xml:space="preserve">Наименоваание НПА </t>
  </si>
  <si>
    <t>Устав Колпашевского района (в редакции от 13.02.209 № 617, от 07.12.2009 № 746)</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</si>
  <si>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</si>
  <si>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</si>
  <si>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t>
  </si>
  <si>
    <t>Расходы на предоставление субсидий некоммерческим организациям, не являющимися бюджетными учреждениями</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</si>
  <si>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</si>
  <si>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</si>
  <si>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Решение Думы Колпашевского района от 13.02.2009 № 613 "О районной целевой программе "Предоставление  молодым семьям государственной поддержки  на приобретение (строительство) жилья на территории Колпашевского района на 2009-2010 годы" (в редакции от 29.04.2009 № 644, от 02.07.2009 № 679, от 25.12.2009 № 768)</t>
  </si>
  <si>
    <t>Иные межбюджетные трансферты на пнриобретение оборудования для котельной, расположенной по адресу: г.Колпашево, ул.Крылова, 9</t>
  </si>
  <si>
    <t>Расходы на материальную помощь гражданам, осуществляющим газификацию частных домовладений, проживающим на территории г. Колпашево и с. Тогур Колпашевского района</t>
  </si>
  <si>
    <t>Расходы на осуществление мероприятий по обеспечению жильем граждан, проживающих в сельской местности по областной целевой программе "Социальное развитие села до 2010 года", за счет средств субсидии из федерального бюджета</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</si>
  <si>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</si>
  <si>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</si>
  <si>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</si>
  <si>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</si>
  <si>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</si>
  <si>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</si>
  <si>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ч.1 ст.28, ч.7,8 ст.44</t>
  </si>
  <si>
    <t>29.01.2007, не установлен</t>
  </si>
  <si>
    <t>2.1.23.</t>
  </si>
  <si>
    <t>Решение Думы Колпашевского района от 23.07.2008 № 515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рамках реализации постановления Администрации Томской области от 23.05.2008 № 99а "О мерах по улучшению жилищных условий граждан, проживающих в сельской местности на территории Томской области"</t>
  </si>
  <si>
    <t>Иные межбюджетные трансферты на предупреждение чрезвычайной ситуации в период весеннего паводка 2010 года в д. Усть-Чая</t>
  </si>
  <si>
    <t xml:space="preserve">Субсидия на комплектование книжных фондов библиотек муниципальных образований </t>
  </si>
  <si>
    <t>п.5-6</t>
  </si>
  <si>
    <t>Расходы на ремонт муниципальных объектов социальной сферы, за счет средств из областного бюджета</t>
  </si>
  <si>
    <t xml:space="preserve">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t>
  </si>
  <si>
    <t xml:space="preserve">Федеральный Закон от 06.10.2003 № 131-ФЗ "Об общих принципах организации местного самоуправления";
</t>
  </si>
  <si>
    <t xml:space="preserve">16.10.2003, не установлен; </t>
  </si>
  <si>
    <t xml:space="preserve">Гл.3, ст.15, п.1, п.п.11       </t>
  </si>
  <si>
    <t>Ст. 31</t>
  </si>
  <si>
    <t>Решение Думы Колпашевского района от 26.12.07 № 415 "Об утверждении Положения о реализации и финансировании мероприятий по содействию занятости населения из средств бюджета муниципального образования "Колпашевский район" на 2008 год"</t>
  </si>
  <si>
    <t>п.1-2</t>
  </si>
  <si>
    <t>Решение Думы Колпашевского района от 08.10.2005 № 418 "Об утверждении положений " (Приложение 1)</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</si>
  <si>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</si>
  <si>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</si>
  <si>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</si>
  <si>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</si>
  <si>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</si>
  <si>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</si>
  <si>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</si>
  <si>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</si>
  <si>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Решение Думы Колпашевского района от 26.02.2010 № 806 "О порядке использования в 2010 году средств бюджета муниципального образования " Колпашевский район" на проведение мероприятий в рамках реализации комплексной прогаммы социально-экономического развития муниципального образования "Колпашевский район" на 2008-2012 годы" в разделе "Сельское хозяйство"</t>
  </si>
  <si>
    <t>26.02.2010-31.12.2010</t>
  </si>
  <si>
    <t xml:space="preserve">01.01.2007-до окончания срока действия ЗТО от 29.12.2005 № 241-ОЗ </t>
  </si>
  <si>
    <t>гр.13</t>
  </si>
  <si>
    <t>гр.14</t>
  </si>
  <si>
    <t>гр.15</t>
  </si>
  <si>
    <t>01.01.2007, не установлен</t>
  </si>
  <si>
    <t>Физкультурно - оздоровительная работа и спортивные мероприятия</t>
  </si>
  <si>
    <t>п. 1-2</t>
  </si>
  <si>
    <t>2.1.20.</t>
  </si>
  <si>
    <t>Расходы на стимулирующие выплаты за высокие результаты и качество выполняемых работ в муниципальных общеобразовательных учреждениях за счёт средств межбюджетных трансфертов из областного бюджета</t>
  </si>
  <si>
    <t>Расходы на выполнение работ в период половодья по ограждению дамбой с. Озёрное</t>
  </si>
  <si>
    <t xml:space="preserve">Решение Думы Колпашевского района от 08.10.2005 № 418 "Об утверждении  положений" (Приложение 1) </t>
  </si>
  <si>
    <t>24.05.2010-31.12.2010</t>
  </si>
  <si>
    <t>Постановление Администрации Томской области от 30 июня 2007 г. N 104а "Об утверждении Порядка предоставления из областного бюджета субсидий бюджетам муниципальных образований Томской области и их расходования"</t>
  </si>
  <si>
    <t>01.01.2006 - 31.12.2007</t>
  </si>
  <si>
    <t xml:space="preserve">Расходы на оказание услуг по перевозке пассажиров речным транспортом </t>
  </si>
  <si>
    <t>28.02.2006, не установлен</t>
  </si>
  <si>
    <t>2.1.37.</t>
  </si>
  <si>
    <t>Гл.3, ст.15, п.1, п.п.2</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</si>
  <si>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</si>
  <si>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</si>
  <si>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</si>
  <si>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субсидии отражаемые в расходных обязательствах поселений Колпашевского района</t>
  </si>
  <si>
    <t>Расходы на приобретение атотранспортных средств</t>
  </si>
  <si>
    <t>п. 1-5</t>
  </si>
  <si>
    <t>формирование и содержание муниципального архива, включая хранение архивных фондов поселений</t>
  </si>
  <si>
    <t>2.1.4.</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</si>
  <si>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t>
  </si>
  <si>
    <t>2.1.18.</t>
  </si>
  <si>
    <t>Мероприятия по организации оздоровительной компании</t>
  </si>
  <si>
    <t>гр.3</t>
  </si>
  <si>
    <t>гр.4</t>
  </si>
  <si>
    <t>гр.5</t>
  </si>
  <si>
    <t>гр.6</t>
  </si>
  <si>
    <t>гр.7</t>
  </si>
  <si>
    <t>гр.8</t>
  </si>
  <si>
    <t>гр.9</t>
  </si>
  <si>
    <t>гр.10</t>
  </si>
  <si>
    <t>гр.11</t>
  </si>
  <si>
    <t>гр.12</t>
  </si>
  <si>
    <t>Организация предоставления общедоступного и бесплатного начального общего, основного общего, среднего (полного) общего образования на территории муниципального образования "Колпашевский район"</t>
  </si>
  <si>
    <t>0901</t>
  </si>
  <si>
    <t>п. 2 Положения</t>
  </si>
  <si>
    <t>Расходы на содержание МУ "Агентство по управлению муниципальным имуществом и размещению муниципального заказа"</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</si>
  <si>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t>
  </si>
  <si>
    <t>п. 1-3</t>
  </si>
  <si>
    <t>29.02.1993, не установлен</t>
  </si>
  <si>
    <t>ст. 5</t>
  </si>
  <si>
    <t>Решение Думы Колпашевского района от 29.04.2009 № 657 "О порядке расходования средств на оказание материальной помощи гражданам, осуществляющим газификацию частных домовладений, проживающим на территории г. Колпашево и с. Тогур Колпашевского района"; распоряжение Администрации Колпашевского района от 27.04.2010 № 208 "О материальной помощи гражданам, осуществляющим газификацию частных домовладений, проживающим на территории г. Колпашево и с. Тогур Колпашевского района"</t>
  </si>
  <si>
    <t xml:space="preserve">п.1          </t>
  </si>
  <si>
    <t xml:space="preserve">п. 2-4 Положения  </t>
  </si>
  <si>
    <t>Организация предоставления дополнительного образования на территории муниципального района</t>
  </si>
  <si>
    <t>2.1.31.</t>
  </si>
  <si>
    <t>ВСЕГО</t>
  </si>
  <si>
    <t>организация и осуществление мероприятий межпоселенческого характера по работе с детьми и молодежью</t>
  </si>
  <si>
    <t>Расходы на переподготовку кадров и повышение квалификации</t>
  </si>
  <si>
    <t>Мероприятия в области занятости населения</t>
  </si>
  <si>
    <t>0404</t>
  </si>
  <si>
    <t>Субсидии на государственную поддержку малого предпринимательства включая крестьянские (фермерские) хозяйства</t>
  </si>
  <si>
    <t>13.02.2009-31.12.2010</t>
  </si>
  <si>
    <t>Расходы на оплату затрат на проведение лицензионной экспертизы образовательных учреждений</t>
  </si>
  <si>
    <t>Решение Думы Колпашевского района от 28.04.2008 № 466 "Об утверждении Порядка использования средств субвенции из областного бюджета, связанных с осуществлением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в муниципальном образовании "Колпашевский район" (в редакции от 27.10.2008 № 550, от 16.01.2009 № 596)</t>
  </si>
  <si>
    <t>0102</t>
  </si>
  <si>
    <t>2.1.2.</t>
  </si>
  <si>
    <t>01.01.2008, не установлен</t>
  </si>
  <si>
    <t>Гл.3, ст.15, п.1, п.п.3</t>
  </si>
  <si>
    <t>2.1.34.</t>
  </si>
  <si>
    <t>Закон Томской области от 17 декабря 2007 г. N 279-ОЗ "О предоставлении межбюджетных трансфертов"</t>
  </si>
  <si>
    <t>абз 4 п. 2 ст.1</t>
  </si>
  <si>
    <t>приложение 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</si>
  <si>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</si>
  <si>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2.1.22.</t>
  </si>
  <si>
    <t xml:space="preserve">07.12.2009-15.04.2010 </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</si>
  <si>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t>
  </si>
  <si>
    <t>Постановление администрации Колпашевского района от 24.05.2010 № 836 "Об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на ремонт и (или) переустройство жилых помещений граждан, не стоящих на учёте в качестве нуждающихся в улучшении жилищных условий из числа участников и инвалидов ВОв 1941-1945 годов, лиц, награждённых знаком "Житель блокадного Ленинграда", бывших несовершеннолетних узников концлагерей, признанных инвалидами, вдов погибших (умерших) участников ВОв 1941-1945 годов, не вступивших в повторный брак"</t>
  </si>
  <si>
    <t>Расходы в соответствии с распоряжением Администрации ТО от 21.04.2010 № 319-ра</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</si>
  <si>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</si>
  <si>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</si>
  <si>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</si>
  <si>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</si>
  <si>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</si>
  <si>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</si>
  <si>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</si>
  <si>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</si>
  <si>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п.1 п.п.1.2</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</si>
  <si>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</si>
  <si>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</si>
  <si>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Расходы на осуществление казначейского исполнения бюджета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</si>
  <si>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</si>
  <si>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Иные межбюджетные трансферты на ремонт котельной с. Копыловка</t>
  </si>
  <si>
    <t>Иные межбюджетные трансферты на строительство объекта водоснабжения мкр. Новостройка</t>
  </si>
  <si>
    <t xml:space="preserve">Решение Думы Колпашевского района от 20.06.2008 № 490 "О порядке расходования средств субсидии из резервного фонда финансирования непредвиденных расходов Администрации Томской области на приобретение книг для библиотек сельских поселений" </t>
  </si>
  <si>
    <t>2.2.</t>
  </si>
  <si>
    <t>ст. 1-3</t>
  </si>
  <si>
    <t>ст. 1-2</t>
  </si>
  <si>
    <t>Компенсация расходов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Колпашевского района</t>
  </si>
  <si>
    <t>2008 год</t>
  </si>
  <si>
    <t>0107</t>
  </si>
  <si>
    <t>0502</t>
  </si>
  <si>
    <t>0408</t>
  </si>
  <si>
    <t>0902</t>
  </si>
  <si>
    <t>0707</t>
  </si>
  <si>
    <t>0309</t>
  </si>
  <si>
    <t>0405</t>
  </si>
  <si>
    <t>25.03.2008-31.12.2008</t>
  </si>
  <si>
    <t>Расходы, связанные с организацией операций с муниципальным имуществом</t>
  </si>
  <si>
    <t>02.09.2004, не установлен</t>
  </si>
  <si>
    <t>ст.15.1, п.2</t>
  </si>
  <si>
    <t>Код  бюджетной классификации (Рз, Прз)</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</si>
  <si>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t>
  </si>
  <si>
    <t>Решение Думы Колпашевского района  от 10.12.2008 № 578" О бюджете муниципального образования "Колпашевский район" на 2009 год"  проект постановления  Главы Колпашевского района  "О порядке предоставления субсидии МО "Колпашевское городское поселение" на создание  условий для управления  многоквартирными домами"</t>
  </si>
  <si>
    <t>01.07.2007, не установлен</t>
  </si>
  <si>
    <t>Расходы на сопровождение сайта по ведению реестра закупок, реестра контрактов, а также осуществление функций по размещению заказа путем проведения торгов</t>
  </si>
  <si>
    <t>ст. 4</t>
  </si>
  <si>
    <t>Справочно: субсидии, выделенные поселениям Колпашевского района из бюджета МО "Колпашевский район", отражаемые в расходных обязательствах поселений Колпашевского района</t>
  </si>
  <si>
    <t xml:space="preserve">Закон Томской области от 13 июня 2007 г. N 112-ОЗ "О реализации государственной политики в сфере культуры и искусства на территории Томской области" </t>
  </si>
  <si>
    <t>ст. 7-10</t>
  </si>
  <si>
    <t>27.06.2007, не установлен</t>
  </si>
  <si>
    <t xml:space="preserve">Закон Томской области от 14 августа 2007 г. N 170-ОЗ "О межбюджетных отношениях в Томской области" </t>
  </si>
  <si>
    <t>ст. 15</t>
  </si>
  <si>
    <t>01.01.2008 - 31.12.2008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</si>
  <si>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</si>
  <si>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7-9 Положения</t>
  </si>
  <si>
    <t>Постановление Главы Колпашевского района от 13.01.06 № 6 "О создании и финансировании подготовительных классов в общеобразовательных учреждениях района"</t>
  </si>
  <si>
    <t>п. 2</t>
  </si>
  <si>
    <t>ст. 55</t>
  </si>
  <si>
    <t>ст. 35</t>
  </si>
  <si>
    <t>01.01.2002, не установлен</t>
  </si>
  <si>
    <t>п. 2-3 Положения</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</si>
  <si>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t>
  </si>
  <si>
    <t>п. 4-6 Положения</t>
  </si>
  <si>
    <t>Иные межбюджетные трансферты на инвентаризацию имущества поселений Колпашевского района</t>
  </si>
  <si>
    <t>Иные межбюджетные трансферты на ремонт теплотрассы к МДОУ № 20 г. Колпашево</t>
  </si>
  <si>
    <t>Иные межбюджетные трансферты на строительство газовой котельной по адресу г. Колпашево, ул. Крылова 9/2</t>
  </si>
  <si>
    <t>Иные межбюджетные трансферты на ремонт сетей горячего водоснабжения в с. Тогур</t>
  </si>
  <si>
    <t>Иные межбюджетные трансферты на ремонт сетей водоснабжения мкр. Восточный с. Тогур</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</si>
  <si>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</si>
  <si>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</si>
  <si>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 xml:space="preserve">Закон Томской области от 9 октября 2007 г. N 223-ОЗ "О муниципальных должностях и должностях муниципальной службы в Томской области" </t>
  </si>
  <si>
    <t>Федеральный закон от 12 июня 2002 г. N 67-ФЗ "Об основных гарантиях избирательных прав и права на участие в референдуме граждан Российской Федерации"</t>
  </si>
  <si>
    <t>Гл.4</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</si>
  <si>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</si>
  <si>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01.01.2008 - 31.12.2010</t>
  </si>
  <si>
    <t>Расходы за счет средств субсидии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от 23.05.08 № 12-р-в</t>
  </si>
  <si>
    <t>0801</t>
  </si>
  <si>
    <t>Расходы на развитие общественных инициатив</t>
  </si>
  <si>
    <t>2.3.</t>
  </si>
  <si>
    <t>Решение Думы Колпашевского района от 10.12.05 № 30 "Об утверждении Положения о порядке назначения,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t>
  </si>
  <si>
    <t>ИМБТ на ремонт крыши в жилом доме по адресу г.Колпашево, ул.Гоголя 80</t>
  </si>
  <si>
    <t>ИМБТ на ремонт участка системы водоснабжения мкр.Геолог 1-4 г.Колпашево</t>
  </si>
  <si>
    <t>ИМБТ на подготовку объектов водоснабжения к зиме с.Инкино</t>
  </si>
  <si>
    <t>ИМБТ на ремонт оборудования дизельной электростанции с.Копыловка</t>
  </si>
  <si>
    <t>ИМБТ на ремонт объектов водоснабжения с.Новоильинка</t>
  </si>
  <si>
    <t>ИМБТ на приобретение запасных честей и ремонт трактора</t>
  </si>
  <si>
    <t>ИМБТ на укрепление материально-технической базы сельских культурно-досуговых центров (в соответствии с распоряжением Администрации ТО от 06.07.2010 № 584-ра) за счет средств субсидии</t>
  </si>
  <si>
    <t>ИМБТ на приобретение спортивной формы для футбольной команды (в соответсвии с распоряжением Администрации ТО от 19.07.2010 № 39-р-в) за счет средств субсидии</t>
  </si>
  <si>
    <t>01.01.2010. не установлен</t>
  </si>
  <si>
    <t xml:space="preserve">Закон Томской области от 12 ноября 2001 г. N 119-ОЗ "Об образовании в Томской области" </t>
  </si>
  <si>
    <t>01.01.2010-31.12.2012</t>
  </si>
  <si>
    <t>Расходы на приобретение жилых помещений для переселения жителей Колпашевского района из опасной зоны обрушающихся берегов за счет средств субсидии из областного бюджета</t>
  </si>
  <si>
    <t>Распоряжение администрации Колпашевского района от 21.05.2010 №339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социалогического исследования"</t>
  </si>
  <si>
    <t>п.4-5</t>
  </si>
  <si>
    <t>Мероприятия в области сельскохозяйственного производства</t>
  </si>
  <si>
    <t xml:space="preserve">п. 2-5 Положения,      </t>
  </si>
  <si>
    <t>30.03.2007, не установлен</t>
  </si>
  <si>
    <t>21.05.2010 - 31.05.2010</t>
  </si>
  <si>
    <t>Решение Думы Колпашевского района от 17.06.2010 № 852 "Об установлении расходного обязательства по оплате проезда беременных женщин из населенных пунктов МО "Колпашевский район", кроме г.Колпашево и п.Тогур, в МУЗ "Колпашевская ЦРБ" для обследования и наблюдения в целях своевременной постановки на учет и последующего наблюдения в период беременности, по привлечению областных узких медицинских специалистов к проведению профилактических медосмотров детей и подростков от 0 до 18 лет на территории Колпашевского района</t>
  </si>
  <si>
    <t>ст. 17</t>
  </si>
  <si>
    <t>участие в предупреждении и ликвидации последствий чрезвычайных ситуаций на территории муниципального района</t>
  </si>
  <si>
    <t>Постановление Администрации Томской области от 23 августа 2007 г. N 125а "О мерах по улучшению жилищных условий граждан, проживающих в сельской местности на территории Томской области"</t>
  </si>
  <si>
    <t>23.08.2007, не установлен</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</si>
  <si>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t>
  </si>
  <si>
    <t>2.1.5.</t>
  </si>
  <si>
    <t>Решение Думы Колпашевского района от 28.01.2010  № 787 "О порядке расходования средств на ликвидацию муниципального учреждения "Специальный дом для ветеранов войны и труда, семей пожилого возраста и инвалидов" в 2010 году"</t>
  </si>
  <si>
    <t>01.01.2010-31.12.2010</t>
  </si>
  <si>
    <t>Решение думы Колпашевского района от 21.09.2009 № 701 "Об использовании средств местного бюджета на компенсацию транспортных расходов обучающихся в МОУ "Мараксинская ООШ" муниципального образования "Колпашевский район"</t>
  </si>
  <si>
    <t>21.09.2009, не установлен</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</si>
  <si>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t>
  </si>
  <si>
    <t>п.1                           п.1</t>
  </si>
  <si>
    <t>01.05.2010, не установлен      28.04.2010, не установлен</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</si>
  <si>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</si>
  <si>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2010 год</t>
  </si>
  <si>
    <t>27.08.2010-31.12.2011</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</si>
  <si>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</si>
  <si>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</si>
  <si>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</si>
  <si>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0114</t>
  </si>
  <si>
    <t>п. 1</t>
  </si>
  <si>
    <t>01.01.2005, не установлен</t>
  </si>
  <si>
    <t>01.07.2010, до окнчания срока действия ЗТО от 28.12.2007 № 298-ОЗ</t>
  </si>
  <si>
    <t>Расходы на закупку автотранспортных средств и коммунальной техники за счет средств субсидии из федерального бюджета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</si>
  <si>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t>
  </si>
  <si>
    <t>16.10.2003, не утановлен</t>
  </si>
  <si>
    <t>Расходы на содержание аппарата Администрации Колпашевского района</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</si>
  <si>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</si>
  <si>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</si>
  <si>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</si>
  <si>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</si>
  <si>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</si>
  <si>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</si>
  <si>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</si>
  <si>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</si>
  <si>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</si>
  <si>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</si>
  <si>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</si>
  <si>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</si>
  <si>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</si>
  <si>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</si>
  <si>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</si>
  <si>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</si>
  <si>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ИМБТ на изготовление и установку детской игровой площадки (в соответствии с распоряжением Администрации ТО от 10.062010 № 31-р-в) за счет средств субсидии</t>
  </si>
  <si>
    <t xml:space="preserve">ИМБТ на поощрение межпоселенческих команд, участвовавших в 3-й зимней межпоселенческой спартакиады в п. Б.Саровка </t>
  </si>
  <si>
    <t>ИМБТ на участие команды КВН г. Колпашева в фестивале Международного Союза КВН (КИВИН-2010)</t>
  </si>
  <si>
    <t>ИМБТ на укрепление материально-техничекой базы МУ "Чажемтовский "СКДЦ"</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</si>
  <si>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</si>
  <si>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</si>
  <si>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</si>
  <si>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</si>
  <si>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01.07.2010- до окончания срока действия ЗТО от 13.11.2008 № 231-ОЗ</t>
  </si>
  <si>
    <t>01.07.2010- до окончания срока действия ЗТО от 07.07.2009 № 104-ОЗ</t>
  </si>
  <si>
    <t>План</t>
  </si>
  <si>
    <t>Исполнение</t>
  </si>
  <si>
    <t>ИТОГО расходные обязательствам муниципальных районов</t>
  </si>
  <si>
    <t>Иные межбюджетные трансферты на поощрение поселений Колпашевского района, участвовавших в мероприятиях по культуре районного и областного значения</t>
  </si>
  <si>
    <t>Решение Думы Колпашевского района от 16.04.2010 № 834 "О порядке использования средств субсидии на компенсацию разницы в тарифах для населения по утилизации (захоронению) твёрдых бытовых отходов на полигоне г. Колпашево"; Постановление администрации Колпашевского района от 15.07.2010 № 945 "О порядке и условиях предоставления субсидии на компенсацию разницы в тарифах для населения по утилизации (захоронению) твердых бытовых отходов на полигоне г.Колпашево"</t>
  </si>
  <si>
    <t xml:space="preserve">01.07.2010, до окончания срока действия ЗТО от 11.09.2007 № 188-ОЗ </t>
  </si>
  <si>
    <t>Расходы из резервного фонда финансирования непредвиденных расходов Администрации ТО в соответствии с распоряжением Администрации ТО от 29.03.2010 № 15-р-в</t>
  </si>
  <si>
    <t>Решение Думы Колпашевского района от 26.12.2008 № 586 "О порядке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 из резервного фонда Администрации ТО по ликвидациипоследствий стихийных бедствий и других чрезвычайных ситуаций"</t>
  </si>
  <si>
    <t>Расходы на организацию отдыха детей в каникулярное время за счёт средств субсидии из областного бюджета</t>
  </si>
  <si>
    <t>Организация предоставления дошкольного образования</t>
  </si>
  <si>
    <t>0701</t>
  </si>
  <si>
    <t>01.01.2008-31.12.2008</t>
  </si>
  <si>
    <t>0412</t>
  </si>
  <si>
    <t>01.01.2002, не указан</t>
  </si>
  <si>
    <t>фактически исполнено</t>
  </si>
  <si>
    <t>гр.0</t>
  </si>
  <si>
    <t>гр.2</t>
  </si>
  <si>
    <t>Субсидия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реформирования ЖКХ</t>
  </si>
  <si>
    <t xml:space="preserve">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t>
  </si>
  <si>
    <t>Решение Думы Колпашевского района от 29.04.2009 № 650 "Об утверждении районной целевой программы "Патриотическое воспитание детей  и молодежи  Колпашевского района  на 2008-2010 годы" (в редакции от 02.07.2009 № 680, от 28.10.2009 № 720, от 28.01.2010 № 789, от 26.02.2010 № 803, от 16.04.2010 № 825)</t>
  </si>
  <si>
    <t>Расходы в соответствии с распоряжением Администрации ТО от 30.03.2010 № 229-ра</t>
  </si>
  <si>
    <t>Постановление администрации Колпашевского района от 14.04.2010 № 558 "Об использовании бюджетных ассигнований резервного фонда финансирования непредвиденных расходов Администрации Томской области на софинансирование расходов на ремонт и (или) переустройство жилых помещений граждан, не стоящих на учёте в качестве нуждающихся в улучшении жилищных условий из числа участников и инвалидов ВОв 1941-1945 годов, лиц, награждённых знаком "Житель блокадного Ленинграда", бывших несовершеннолетних узников концлагерей, признанных инвалидами, вдов погибших (умерших) участников ВОв 1941-1945 годов, не вступивших в повторный брак"</t>
  </si>
  <si>
    <t>14.04.2010-30.12.2010</t>
  </si>
  <si>
    <t xml:space="preserve">01.01.2006-до окончания срока действия ЗТО от 15.12.2004 № 248-ОЗ </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</si>
  <si>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</si>
  <si>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</si>
  <si>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</si>
  <si>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</si>
  <si>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</si>
  <si>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</si>
  <si>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финансирование муниципальных учреждений</t>
  </si>
  <si>
    <t>2.1.38.</t>
  </si>
  <si>
    <t>п. 3-4 Положения</t>
  </si>
  <si>
    <t>Трудовой кодекс РФ</t>
  </si>
  <si>
    <t>ст. 325,326</t>
  </si>
  <si>
    <t>ст. 33</t>
  </si>
  <si>
    <t>01.02.2002, не установлен</t>
  </si>
  <si>
    <t>14.07.2006, не установлен</t>
  </si>
  <si>
    <t>ИМБТ на приобретение мусорных контейнеров</t>
  </si>
  <si>
    <t>ИМБТ на переоборудование автобуса предназначенного для перевозки пассажиров в междугороднем сообщении</t>
  </si>
  <si>
    <t>ИМБТ на приобретение шасси типа прицепа для передвижной дизельной электрической станции</t>
  </si>
  <si>
    <t>ИМБТ на приобретение и доставку двигателя для дизельной электрической станции</t>
  </si>
  <si>
    <t>ИМБТ на организацию теплоснабжения жилого фонда и объектов расформированной войсковой части 14174</t>
  </si>
  <si>
    <t>ИМБТ на установку опор и прокладку ЛЭП для восстановления электроснабжения "воинского городка" г. Колпашева</t>
  </si>
  <si>
    <t>ИМБТ на организацию торговых мест под ярмарку по продаже сельскохозяйственной продукции в с.Чажемто</t>
  </si>
  <si>
    <t>Решение Думы Колпашевского района от 26.02.2010 № 807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 в рамках реализации постановления Администрации Томской области от 18.06.2009 № 106а "О мерах по улучшению жилищных условий граждан, проживающих в сельской местности на территории Томской области"</t>
  </si>
  <si>
    <t>Решение Думы Колпашевского района  от 08.02.2006 № 79 "О порядке использования субвенции на выплату педагогическим работникам вознаграждения за выполнение функции классного руководителя (в редакции от 28.04.06 № 137; от 29.11.06 № 223; от  29.06.07  № 332, от 28.01.2008 № 423, от 28.01.2010 № 785)</t>
  </si>
  <si>
    <t>01.01.2006, до окончания срока действия ЗТО от 27.01.2006 № 3-ОЗ</t>
  </si>
  <si>
    <t>31.05.2006-До окончания срока действия ЗТО от 18.03.2003 № 36-ОЗ</t>
  </si>
  <si>
    <t>Расходы на разработку и реализацию целевой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2009-2010 годы</t>
  </si>
  <si>
    <t xml:space="preserve">Расходы на осуществление перевозок водным транспортом обучающихся общеобразовательных учреждений </t>
  </si>
  <si>
    <t>31.07.2007, вводится в действие ежегодно</t>
  </si>
  <si>
    <t xml:space="preserve">Субвенция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</si>
  <si>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2012 год</t>
  </si>
  <si>
    <t>2.1.13.</t>
  </si>
  <si>
    <t>п.1</t>
  </si>
  <si>
    <t>ст. 9-13</t>
  </si>
  <si>
    <t>Расходы на проведение противоаварийных мероприятий в зданиях государственных и муниципальных общеобразовательных учреждений за счет средств субсидии из федерального бюджета</t>
  </si>
  <si>
    <t>0409</t>
  </si>
  <si>
    <t>Иные межбюджетные трансферты на приобретение тепловых сетей</t>
  </si>
  <si>
    <t>Гл. 4-5</t>
  </si>
  <si>
    <t xml:space="preserve">Закон Томской области от 11 сентября 2007 г. N 198-ОЗ "О муниципальной службе в Томской области" </t>
  </si>
  <si>
    <t>Федеральный закон от 2 марта 2007 г. N 25-ФЗ "О муниципальной службе в Российской Федерации"</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</si>
  <si>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</si>
  <si>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</si>
  <si>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</si>
  <si>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</si>
  <si>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Расходы на приобретение автомобилей за счет средств федерального бюджета</t>
  </si>
  <si>
    <t>06.03.2006, не установлен</t>
  </si>
  <si>
    <t>Расходы на выплату компенсации транспортных расходов обучающихся в муниципальных общеобразовательных учреждениях</t>
  </si>
  <si>
    <t>21.09.2009-31.12.2009</t>
  </si>
  <si>
    <t>0903</t>
  </si>
  <si>
    <t>0904</t>
  </si>
  <si>
    <t xml:space="preserve">Расходы на реализацию районной целевой программы  "Поддержка и развитие малого и среднего предпринимательства  в МО "Колпашевский район"на 2008-2012 годы" </t>
  </si>
  <si>
    <t>08.12.2008, не установлен</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</si>
  <si>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 не имеющих закрепленного жилого помещения, за счет средств субвенции из областного бюджета</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</si>
  <si>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</si>
  <si>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</si>
  <si>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</si>
  <si>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</si>
  <si>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ИТОГО</t>
  </si>
  <si>
    <t>01.01.210-31.12.2010</t>
  </si>
  <si>
    <t>Расходы на выплату вознаграждения гражданам, удостоенным звания "Почетный житель Колпашевского района"</t>
  </si>
  <si>
    <t>опека и попечительство**</t>
  </si>
  <si>
    <t>Расходы на патриотическое воспитание граждан Колпашевского района на 2008 - 2010 годы"</t>
  </si>
  <si>
    <t>15.05.2008-31.12.2012</t>
  </si>
  <si>
    <t>23.05.2008-31.12.2008</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</si>
  <si>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</si>
  <si>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</si>
  <si>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Расходы на ремонт муниципальных объектов социальной сферы, закреплённых на праве оперативного управления за муниципальными учреждениями культуры, здравоохранения, образования, за счёт средств местного бюджета</t>
  </si>
  <si>
    <t>Закон РФ от 10 июля 1992 г. N 3266-1 "Об образовании"</t>
  </si>
  <si>
    <t>ст. 51</t>
  </si>
  <si>
    <t>10.07.1992, не установлен</t>
  </si>
  <si>
    <t>Гл.3, ст.15, п.1, п.п.11</t>
  </si>
  <si>
    <t>2.1.3.</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</si>
  <si>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</si>
  <si>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ст. 4-5</t>
  </si>
  <si>
    <t>30.06.1999, не установлен</t>
  </si>
  <si>
    <t>Решение Думы Колпашевского района от 10.12.2005 № 27 "Об утверждении Положения об организации оказания и финансового обеспечения на территории Колпашевского района первичной медико - санитарной помощи, в том числе женщинам в период беременности, во время и после родов, в том числе на фельдшерско-акушерских пунктах и скорой медицинской помощи (за исключением санитарно-авиационной) (в редакции от 22.12.2006 № 264)</t>
  </si>
  <si>
    <t>Расходы на организацию проведения районных мероприятий в сфере образования</t>
  </si>
  <si>
    <t>Решение Думы Колпашевского района от 17.06.2010 № 850 "Обиспользовании средств местного бюджета на финансирование расходов, связанных с организацией проведения районных мероприятий в сфере образования"</t>
  </si>
  <si>
    <t>01.06.2010-31.12.2010</t>
  </si>
  <si>
    <t>01.07.2010, до окончания срока действия ЗТО от 24.11.2009 № 261-ОЗ</t>
  </si>
  <si>
    <t>Расходы на осуществление отдельных государственных полномочий по подготовке проведения статистических переписей</t>
  </si>
  <si>
    <t>Расходы на предоставлении субсидии на компенсацию разницы в тарифах на население по утилизации (захоронению) твёрдых бытовых отходов на полигоне г.Колпашево, с.Тогур</t>
  </si>
  <si>
    <t>Расходы в соответствии с распоряжением Администрации ТО от 30.06.2010 № 552-ра</t>
  </si>
  <si>
    <t>2.</t>
  </si>
  <si>
    <t>Расходные обязательства муниципальных районов</t>
  </si>
  <si>
    <t>2.1.11.</t>
  </si>
  <si>
    <t>организация в границах муниципального района электро- и газоснабжения поселений</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</si>
  <si>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</si>
  <si>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</si>
  <si>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</si>
  <si>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</si>
  <si>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</si>
  <si>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</si>
  <si>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</si>
  <si>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</si>
  <si>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01.07.2010, до окончания срока действия ЗТО от 29.12.2005 № 248-ОЗ</t>
  </si>
  <si>
    <t xml:space="preserve">01.07.2010- до окончания срока действия ЗТО от 15.12.2004 № 246-ОЗ </t>
  </si>
  <si>
    <t>01.08.2009, не установлен</t>
  </si>
  <si>
    <t>Иные межбюджетные трансферты на софинансирование проектов по благоустройству поселений Колпашевского района</t>
  </si>
  <si>
    <t>Иные межбюджетные трансферты на поощрение лучших поселений Колпашевского района по благоустройству населенных пунктов</t>
  </si>
  <si>
    <t>Осуществление деятельности и обеспечение руководства в сфере образования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</si>
  <si>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</si>
  <si>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финансовый год +2
(2012 год)</t>
  </si>
  <si>
    <t>Иные межбюджетные трансферты на сбалансированность бюджетных доходов и расходов поселений Колпашевского района</t>
  </si>
  <si>
    <t>Расходы на содержание Думы Колпашевского района</t>
  </si>
  <si>
    <t>0103</t>
  </si>
  <si>
    <t>0406</t>
  </si>
  <si>
    <t>1003</t>
  </si>
  <si>
    <t>01.06.2006, не установлен</t>
  </si>
  <si>
    <t>Решение Думы Колпашевского района от 26.12.2008 № 412 "Об утверждении Положения о порядке проведения районного конкурса "Развитие общественных инициатив на территории Колпашевского района на 2008 год (в редакции от 27.10.2008 №553)</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</si>
  <si>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</si>
  <si>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</si>
  <si>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Решение Думы Колпашевского района от 25.11.2005 № 20 "Об утверждении Положения о звании "Почетный житель Колпашевского района" (в редакции от 29.03.2006 № 127)</t>
  </si>
  <si>
    <t>Гл. 4, ст. 11, п.1-2 Положения</t>
  </si>
  <si>
    <t>финансовый год +3
(2013 год)</t>
  </si>
  <si>
    <t>Расходы на приобретение музыкальных инструментов для муниципальных образовательных учреждений дополнительного образования детей на 2011 год, за счет средств субсидии из областного бюджета</t>
  </si>
  <si>
    <t>Расходы на реализацию долгосрочной целевой программы "Здоровый ребенок" на 2011-2013 годы"</t>
  </si>
  <si>
    <t>Расходы на обслуживание навигационным ограждением судового хода пассажирских линий</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</si>
  <si>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</si>
  <si>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</si>
  <si>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</si>
  <si>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осуществление дорожной деятельности в соответствии с законодательством РФ, за счёт средств субсидии из областного бюджета</t>
  </si>
  <si>
    <t>Иные межбюджетные трансферты  на компенсацию расходов  по организации теплоснабжения энергоснабжающими организациями, использующими в качестве топлива нефть или мазут за счет средств субсидии</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</si>
  <si>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</si>
  <si>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</si>
  <si>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</si>
  <si>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Иные межбюджетные трансферты на создание условий для управления многоквартирными домами  за счет средств субсидии</t>
  </si>
  <si>
    <t>1105</t>
  </si>
  <si>
    <t>Расходы на реализацию долгосрочной целевой программы "Профилактика правонарушений на территории МО "Колпашевский район" на 2010-2012</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</si>
  <si>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</si>
  <si>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Расходы на реализацию программы "Профилактика детского дорожно - транспортного травматизма на территории Томской области в 2010 - 2011 годах" за счет субсидии из областного бюджета</t>
  </si>
  <si>
    <t>Решение Думы Колпашевского района от 26.12.2007 № 409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t>
  </si>
  <si>
    <t>1401</t>
  </si>
  <si>
    <t xml:space="preserve">Расзходы на оплату потребления бюджетными учреждениями Колпашевского района электроэнергии, вырабатываемой дизельными электростанциями, по тарифам, свыше тарифов, установленных для централизованного электроснабжения </t>
  </si>
  <si>
    <t xml:space="preserve">Расходы на организацию подвоза обучающихся из ближайших населенных пунктов к месту учебы </t>
  </si>
  <si>
    <t>Расходы на осуществление отдельных государственных полномочий по воспитанию и обучению детей -инвалидов в муниципальных дошкольных образовательных учреждениях за счет средств субвенции из областного бюджета</t>
  </si>
  <si>
    <t>ИМБТ на реализацию мероприятий программы "Чистое Колпашевское городское поселение" в части сбора и вывоза твердых бытовых отходов"</t>
  </si>
  <si>
    <t>Расходы на проведение работ по эксплуатации гидротехнических сооружений</t>
  </si>
  <si>
    <t>Решение Думы Колпашевского района от 08.10.2005  № 418 "Об утверждении положений (Приложение 1)", 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t>
  </si>
  <si>
    <t>Решение думы Колпашевского района от 06.03.2006 № 118 "Об утверждении органа, уполномоченного на осуществление функций по размещению заказов для муниципальных заказчиков, органа, уполномоченного на осуществление контроля в сфере размещения муниципальных заказов, органа,  уполномоченного на ведение реестра муниципальных контрактов и Положения о порядке взаимодействия органа, уполномоченного на осуществление функций по размещению заказов для муниципальных заказчиков муниципального образования "Колпашевский район" и муниципальных заказчиков" (в редакции от 25.12.2009 № 763)</t>
  </si>
  <si>
    <t xml:space="preserve">Решение думы Колпашевского района от 07.12.2009 № 748 "О порядке расходования средств субсидии  из целевого финансового резерва Томской области для предупреждения чрезвычайных ситуаций для расселения жителей Колпашевского района из опасной зоны обрушающихся берегов р.Обь" </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</si>
  <si>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</si>
  <si>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</si>
  <si>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08.09.2009 № 173-ОЗ</t>
  </si>
  <si>
    <t>Расходы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</si>
  <si>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</si>
  <si>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</si>
  <si>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</si>
  <si>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Расходы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 за счет средств субвенции из областого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</si>
  <si>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</si>
  <si>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</si>
  <si>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</si>
  <si>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осуществлении денежных выплат медецинскому персоналу фельдшерско - акушерских пунктов, врачам, фельдшерам и медецинским сестрам учреждений и подразделений скорой медецинской помощи за счет средств субвенции из областного бюджета</t>
  </si>
  <si>
    <t>01.01.2008, до окончания срока действия ЗТО от 27.03.2009 № 38-ОЗ</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</si>
  <si>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</si>
  <si>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</si>
  <si>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МОУ</t>
  </si>
  <si>
    <t>Расходы на выплату доплат к ежемесячному вознаграждению за выполнение функций классного руководителя педагогическим работникам МОУ Томской области в классах с наполняемостью свыше 25 человек, за счет средств субвенции из областного бюджета</t>
  </si>
  <si>
    <t>Расходы на выплату ежемесячного вознаграждения за выполнение функций классного руководителя педагогическим работникам МОУ, за счет средств субвенции из федерального бюджета</t>
  </si>
  <si>
    <t xml:space="preserve">Расходы на осуществление отдельных государственных полномочий по проведению аттестации педагогических работников МОУ на первую и вторую квалификационную категорию за счет средств субвенции из областного бюджета </t>
  </si>
  <si>
    <t>01.07.2010 - до окончания срока действия ЗТО от 29.12.2007 № 320-ОЗ</t>
  </si>
  <si>
    <t>01.01.2010, до окончания срока действия ЗТО от 15.12.2004 № 246-ОЗ</t>
  </si>
  <si>
    <t>Расходы на приобретение автотранспортных средств</t>
  </si>
  <si>
    <t>13.07.2010, не установлен</t>
  </si>
  <si>
    <t>Содержание автомобильных дорог общего пользования</t>
  </si>
  <si>
    <t>Решение Думы Колпашевского района от 24.05.2010 № 842 "Об установлении льготы на пассажирские перевозки речным транспортом на период навигации 2010 года" (в редакции от 13.07.2010 № 887)</t>
  </si>
  <si>
    <t>срок дейстия</t>
  </si>
  <si>
    <t>гр.18</t>
  </si>
  <si>
    <t>п.14</t>
  </si>
  <si>
    <t>п.4</t>
  </si>
  <si>
    <t>01.04.2010-31.12.2010</t>
  </si>
  <si>
    <t>Гл.3 Положения</t>
  </si>
  <si>
    <t>01.01.2008- 01.07.2010</t>
  </si>
  <si>
    <t>17.06.2010- 31.12.2011</t>
  </si>
  <si>
    <t>Постановление Администрации Колпашевского района от 15.10.2010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t>
  </si>
  <si>
    <t>01.01.2011- 31.12.2015</t>
  </si>
  <si>
    <t>Постановление Администрации Колпашевского района от 14.10.2010 № 1289 "Об утверждении долгосрочной целевой программы "Здоровый ребенок" на 2011 - 2013 годы"</t>
  </si>
  <si>
    <t>01.01.2011- 31.12.2013</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</si>
  <si>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</si>
  <si>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</si>
  <si>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</si>
  <si>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t>
  </si>
  <si>
    <t>п.3 Положения</t>
  </si>
  <si>
    <t>27.02.2007- не установлен</t>
  </si>
  <si>
    <t>Постановление Администрации Колпашевского района от 15.10.2010 № 1294 "Об утверждении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</si>
  <si>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Решение Думы Колпашевского района от 14.07.2006 № 180 " 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МО "Колпашевский район"</t>
  </si>
  <si>
    <t>п.8.2.1</t>
  </si>
  <si>
    <t>01.08.2006- не ограничен</t>
  </si>
  <si>
    <t>Расходы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t>
  </si>
  <si>
    <t>отчетный финансовый год   (2010 год)</t>
  </si>
  <si>
    <t>текущий финансовый год (2011)</t>
  </si>
  <si>
    <t>Расходы в соответствии с распоряжением Администрации ТО от 01.12.2010 № 1035-ра (частичное покрытие расходов на финансовое обеспечение мероприятий, связанных с ликвидацией последствий паводка, произошедшего в апреле-мае 2010 года)</t>
  </si>
  <si>
    <t>Решение Думы Колпашевского района от 26.12.2008 № 586 "О порядке расходования бюджетных ассигнований, выделенных бюджету МО "Колпашевский район"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t>
  </si>
  <si>
    <t>Расходы в соответствии с распоряжением Администрации ТО от 24.09.2010 № 807-ра (продолжение строительства храма "Церковь Вознесения" в г. Колпашево)</t>
  </si>
  <si>
    <t>Решение Думы Колпашевского района от 26.12.2008 № 586 "О порядке расходования бюджетных ассигнований, выделенных бюджету МО "Колпашевский район"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 Постановление Администрации Колпашевского района от 08.10.2010 № 1266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</si>
  <si>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Расходы в соответствии с распоряжением Администрации ТО от 24.09.2010 № 61-р-в (приобретение материалов для строительства памятника участникам локальных войн)</t>
  </si>
  <si>
    <t>Решение Думы Колпашевского района от 26.12.2008 № 586 "О порядке расходования бюджетных ассигнований, выделенных бюджету МО "Колпашевский район" из резервного фонда финансирования непредвиденных расходов Администрации ТО по ликвидации последствий стихийных бедствий и других черезвычайных ситуаций"; Постановление Администрации Колпашевского района от 22.10.2010 № 1325 "О порядке предоставления субсидии Автономной некомерческой организации Колпашевского района "Центр социальной помощи молодежи" на возмещение затрат, связанных со строительством памятника участникам локальных войн в г.Колпашево в 2010 году"</t>
  </si>
  <si>
    <t>1006</t>
  </si>
  <si>
    <t>Расходы в соответствии с распоряжением Администрации ТО от 21.10.2010 № 894-ра (возмещение затрат по проведению аварийно-восстановительных работ по ликвидации последствий урагана 17.07.2010 г.)</t>
  </si>
  <si>
    <t>Постановление Администрации Колпашевского района от 29.10.2010 № 1359 "О порядке расходования средств бюджетных ассигнований, выделенных из резервного фонда Администрации ТО по ликвидации последствий стихийных бедствий и других черезвычайных ситуаций бюджету муниципального образования "Колпашевский район", на возмещение затрат по проведению аварийно - восстановительных работ по ликвидации последствий урагана 17.07.2010г." (в редакции от 10.11.2010 №1383)</t>
  </si>
  <si>
    <t>29.10.2010- 31.12.2010</t>
  </si>
  <si>
    <t>Расходы в соответствии с распоряжением Администрации ТО от 20.12.2010 № 1120-ра (приобретение дизель-генератора с целью предупреждения черезвычайной ситуации на объектах теплоснабжения)</t>
  </si>
  <si>
    <t>Расходы на предоставление субсидий на возмещение расходов ФГУП "Почта России", связанных с доставкой товаров первой необходимости в период труднодоступности населенных пунктов в 2010 году</t>
  </si>
  <si>
    <t>п.23.6</t>
  </si>
  <si>
    <t>10.05.2010- 31.12.2010</t>
  </si>
  <si>
    <t>Решение Думы Колпашевского района от 07.12.2009 № 738 "О бюджете муниципального образования "Колпашевский район" на 2010 год"</t>
  </si>
  <si>
    <t>Расходы на обеспечение жильем граждан РФ, проживающих в сельской местности</t>
  </si>
  <si>
    <t>Расходы за счет субсидии на реализацию подпрограммы "Обеспечение жильем молодых семей" ФЦП "Жилище" на 2002-2010 годы</t>
  </si>
  <si>
    <t>п. 4 Программы</t>
  </si>
  <si>
    <t>13.02.2009- 31.12.2010</t>
  </si>
  <si>
    <t>Расходы на реализацию мероприятий областной целевой программы "Пожарная безопасность на объектах бюджетной сферы Томской области на 2008 - 2010гг."</t>
  </si>
  <si>
    <t>Решение Думы Колпашевского района от 13.2.2009 № 608 "О расходовании средств субсидии на реализацию областной целевой программы "Пожарная безопасность на объектах бюджетной сферы Томской области на 2008-2010 годы"</t>
  </si>
  <si>
    <t>ИМБТ на поощрение поселенчиских команд,учавствовавших в 5-й летней межпоселенческой спартакиаде в с.Инкино в 2010 году</t>
  </si>
  <si>
    <t>ИМБТ на работы по врезкам в существующий газопровод высокого давления четвертой очереди</t>
  </si>
  <si>
    <t>ИМБТ на приобретение оборудования для котельных г.Колпашевса</t>
  </si>
  <si>
    <t>ИМБТ на изготовление и установку детских игровых площадок (в соответствии с распоряжением Администрации ТО от 20.08.2010 № 50-р-в) за счет средств субсидии</t>
  </si>
  <si>
    <t>ИМБТ в соответствии с распоряжением Администрации ТО от 14.09.2010 № 59-р-в</t>
  </si>
  <si>
    <t>ИМБТ на изготовление и установку детской игровой площадки по адресу: г.Колпашево, городской парк (в соответствии с распоряжением Администрации ТО от 04.10.2010 № 63-р-в)</t>
  </si>
  <si>
    <t>ИМБТ для МУ "ЦКД" г.Колпашево на укрепление материально-технической базы Дома культуры "Рыбник" в мкр. Матьянга (в соответствии с распоряжением Администрации ТО от 14.10.2010 № 64-р-в) за счет средств субсидии из областного бюджета</t>
  </si>
  <si>
    <t>ИМБТ на возмещение затрат по проведению аварийно-восстановительных работ по ликвидации последствий урагана 17 июля 2010 (в соответствии с распоряжением Администрации ТО от 21.10.2010 № 894-ра) за счет средств субсидии из областного бюджета</t>
  </si>
  <si>
    <t>ИМБТ для частичного покрытия расходов на финансовое обеспечение мероприятий, связанных с ликвидацией последствий паводка, произошедшего в апреле - мае 2010 года (в соответствии с распоряжением Администрации ТО от 01.12.2010 № 14035-ра)</t>
  </si>
  <si>
    <t>ИМБТ в соответствии с распоряжением Администрации ТО от 30.11.2010 № 83-р-в за счет субсидии</t>
  </si>
  <si>
    <t>ИМБТ для оказания единовременной помощи жителям, пострадавшим от весеннего половодья в апреле-мае 2010 года (в соответствии с распоряжением Администрации ТО от 06.12.2010 № 1040-ра)</t>
  </si>
  <si>
    <t>ИМБТ на укрепление материально-технической базы МУ "Городской молодежный центр" (в соответствии с распоряжением Администрации ТО от 10.12.2010 № 86-р-в) за счет средств субсидии</t>
  </si>
  <si>
    <t>ИМБТ на приобретение материалов для благоустроительных работ поселения</t>
  </si>
  <si>
    <t>ИМБТ на благоустройство зоны отдыха с.Новогорное</t>
  </si>
  <si>
    <t>ИМБТ на приобретение призов в рамках проведения мероприятий, посвященных Дню старшего поколения, МУ "ЦКД"</t>
  </si>
  <si>
    <t>ИМБТ на приобретение видеопроектора для Мараксинского СДК МУ "Новоселовский СКДЦ"</t>
  </si>
  <si>
    <t>ИМБТ на приобретение видеопроектора для Новоильинского СДК МУ "Саровский СКДЦ"</t>
  </si>
  <si>
    <t>ИМБТ на награждение сельского поселения, победителя районной сельскохозяйственной ярмарки "Дары осени"</t>
  </si>
  <si>
    <t>ИМБТ на проектирование, строительство газораспределительных сетей 1-ой очереди газификации г.Колпашево</t>
  </si>
  <si>
    <t>ИМБТ на устройство защитных противопожарных полос вокруг населенных пунктов Инкинского сельского поселения</t>
  </si>
  <si>
    <t>ИМБТ на теплоснабжение объектов расформированной войсковой части 14174</t>
  </si>
  <si>
    <t>Расходы на денежное поощрение коллективов областных государственных и муниципальных образовательных учреждений ТО, внедряющих инновационные образовательные программы, победивших в конкурсном отборе, за счет средств ИМБТ из областного бюджета</t>
  </si>
  <si>
    <t>Решение Думы Колпашевского района от 24.12.2010 № 35 "О порядке использования средств иных межбюджетных трансфертов на выплату в 2010 году денежного поощрения коллективам муниципальных общеоьразовательных учреждений, внедряющих инновационные образовательные программы"</t>
  </si>
  <si>
    <t>п.2-3</t>
  </si>
  <si>
    <t>01.12.2010- 31.12.2010</t>
  </si>
  <si>
    <t>Расходы на реализацию ОЦП "Предоставление молодым семьям государственной поддержки на приобретение (строительство) жилья на территории ТО на 2006 - 2010 годы" за счет средств субсидии из областного бюджета</t>
  </si>
  <si>
    <t>Решение Думы Колпашевского района от 13.02.2009 № 613 "О районной целевой программе "Предоставление молодым семьям государственной поддержки на приобретение (строительство) жилья на территории Колпашевского района на 2009-2010 годы (в редакции от 29.04.2009 № 644, от 02.07.2009 № 679, от 25.12.2009 № 768)</t>
  </si>
  <si>
    <t>п.4 Программы</t>
  </si>
  <si>
    <t>Расходы из резервного фонда финансирования непредвиденных расходов Администрации ТО в соответствии с распоряжением Администрации ТО от 10.12.2010 № 86-р-в</t>
  </si>
  <si>
    <t>Расходы из резервного фонда финансирования непредвиденных расходов Администрации ТО в соответствии с распоряжением Администрации ТО от 30.11.2010 № 83-р-в (МОУ "Чажемтовская СОШ" на преобретение линолиума)</t>
  </si>
  <si>
    <t>Расходы из резервного фонда финансирования непредвиденных расходов Администрации ТО в соответствии с распоряжением Администрации ТО от 18.12.2010 № 95-р-в (МОУ "Саровская СОШ" на укрепление материально-технической базы)</t>
  </si>
  <si>
    <t>2.3.1.</t>
  </si>
  <si>
    <t>2.3.2.</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</si>
  <si>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</si>
  <si>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</si>
  <si>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</si>
  <si>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</si>
  <si>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</si>
  <si>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2.3.6.</t>
  </si>
  <si>
    <t>осуществление ежемесячной выплаты денежных средств приемным семьям на содержание детей и осуществление ежемесячной оплаты труда приемных родителей</t>
  </si>
  <si>
    <t>2.3.7.</t>
  </si>
  <si>
    <t>2.3.8.</t>
  </si>
  <si>
    <t>2.3.9.</t>
  </si>
  <si>
    <t>2.3.10.</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</si>
  <si>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</si>
  <si>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</si>
  <si>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</si>
  <si>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</si>
  <si>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</si>
  <si>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</si>
  <si>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</si>
  <si>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</si>
  <si>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</si>
  <si>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</si>
  <si>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</si>
  <si>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</si>
  <si>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</si>
  <si>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</si>
  <si>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2.3.20.</t>
  </si>
  <si>
    <t>Предоставление гражданам субсидий на оплату жилого помещения и коммунальных услуг</t>
  </si>
  <si>
    <t>2.3.21.</t>
  </si>
  <si>
    <t>2.3.22.</t>
  </si>
  <si>
    <t>2.3.23.</t>
  </si>
  <si>
    <t>2.3.24.</t>
  </si>
  <si>
    <t>2.3.25.</t>
  </si>
  <si>
    <t>2.3.26.</t>
  </si>
  <si>
    <t>2.3.27.</t>
  </si>
  <si>
    <t>2.3.28.</t>
  </si>
  <si>
    <t>2.3.29.</t>
  </si>
  <si>
    <t>предоставление субсидий на поддержку экономически значимой региональной программы развития молочного скотоводства</t>
  </si>
  <si>
    <t>предоставление субсидий на возмещение гражданам, ведущим личное подсобное хозяйство, затрат по искусственному осеменению коров</t>
  </si>
  <si>
    <t>предоставление субсидий на возмещение затрат по внесению органических удобрений</t>
  </si>
  <si>
    <t>на осуществление управленческих функций органами местного самоуправления</t>
  </si>
  <si>
    <t>предоставление субсидий на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2005-2010 годах на срок до 8 лет</t>
  </si>
  <si>
    <t>Решение Думы Колпашевского района от 21.09.2009 № 701 "Об использовании средств местного бюджета на компеснацию транспортных расходов обучающихся  муниципального образования "Колпашевский район"</t>
  </si>
  <si>
    <t>расходы на содержание единой дежурно-диспетчерской службы</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</si>
  <si>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t>
  </si>
  <si>
    <t>Гл. 1-2 Положения</t>
  </si>
  <si>
    <t xml:space="preserve">п.1 </t>
  </si>
  <si>
    <t>01.01.2011-31.12.2011</t>
  </si>
  <si>
    <t>Постановление Администрации Колпашевского района от 25.01.2011 № 23 "О порядке расходования средств бюджетных ассигнований, выделенных за счет средств резервного фонда финансирования непредвиденных расходов Администрации Томской области бюджету муниципального образования "Колпашевский район", на приобретение передвижной электростанции в утепленном блок-контейнере на автомобильном шасси"</t>
  </si>
  <si>
    <t>25.01.2011- 15.03.2011</t>
  </si>
  <si>
    <t>Постановление Администрации Колпашевского района от 18.02.2011 № 125 "О применении понижающих коэффициентов к нормативным расходам финансирования общеобразовательных учреждений"</t>
  </si>
  <si>
    <t>01.05.2011- 31.12.2011</t>
  </si>
  <si>
    <t>Решение Думы Колпашевского района от 14.02.2011 № 3 "О порядке использования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</si>
  <si>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01.01.2011, не установлен</t>
  </si>
  <si>
    <t>Расходы на реализацию долгосрочной целевой программы "Медецинские кадры"  на 2011 - 2013 годы</t>
  </si>
  <si>
    <t>Постановление Администрации Колпашевского района от 14.10.2010 № 1288 "Об утверждении долгосрочной целевой программы "Медицинские кадры" на 2011 - 2013 годы"</t>
  </si>
  <si>
    <t>Иные межбюджетные трансферты на проведение торжественных мероприятий, приуроченных ко Дню Защитника Отечества к Международному женскому дню</t>
  </si>
  <si>
    <t>Иные межбюджетные трансферты на оснащение вертолетной площадки</t>
  </si>
  <si>
    <t>Иные межбюджетные трансферты на оплату расходов тепловой энергии МУ "Инкинский СКДЦ"</t>
  </si>
  <si>
    <t>Иные межбюджетные трансферты на приобретение и установку приборов учета воды и тепла в административном здании Администрации поселения</t>
  </si>
  <si>
    <t>Иные межбюджетные трансферты на расходы, связанные с благоустройством поселения</t>
  </si>
  <si>
    <t>Иные межбюджетные трансферты на дорожную деятельность в отношении автомобильных дорог местного значения</t>
  </si>
  <si>
    <t>Иные межбюджетные трансферты на ремонт двух павильонов у водопроводных башен</t>
  </si>
  <si>
    <t>Иные межбюджетные трансферты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</si>
  <si>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Иные межбюджетные трансферты на реализацию мероприятий по организации уличного освещения</t>
  </si>
  <si>
    <t>Иные межбюджетные трансферты на приобретение сетей теплоснабжения для газовых котельных г. Колпашево и с. Тогур</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</si>
  <si>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от 23.08.2010 № 914, от 24.12.2010 № 32, от 18.03.2011 № 21)</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</si>
  <si>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29.09.2010 № 919)</t>
  </si>
  <si>
    <t>Гл. 2-6 Положения</t>
  </si>
  <si>
    <t>01.08.2006, не установлен</t>
  </si>
  <si>
    <t>25.01.2011- 31.12.2011</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</si>
  <si>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</si>
  <si>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18.03.2011- 31.12.2011</t>
  </si>
  <si>
    <t>Решение Думы Колпашевского района от 13.07.2010 № 875 "Об утвержлении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t>
  </si>
  <si>
    <t>Решение Думы Колпашевского района от 28.04.2008 № 463 "Об утверждении Положения об организации  отдыха  детей Колпашевского района в каникулярное время" (в редакции от 25.12.2009 № 757)</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</si>
  <si>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</si>
  <si>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t>
  </si>
  <si>
    <t>Решение Думы Колпашевского района от 18.03.2011 № 28 "О применении в 2011 году коэффициентов к тарифам для населения по утилизации (захоронению) твёрдых бытовых отходов на полигонах г. Колпашево и с. Тогур"</t>
  </si>
  <si>
    <t>01.01.2011- 31.12.2011</t>
  </si>
  <si>
    <t>Постановление Администрации Колпашевского района от 21.03.2011 № 237 "О порядке и условиях предоставления субсидии на компенсацию разницы в тарифах для населения по утилизации (захоронению) твёрдых бытовых отходов на полигоне г. Колпашево и с. Тогур</t>
  </si>
  <si>
    <t>п. 1-6</t>
  </si>
  <si>
    <t>п.1-5</t>
  </si>
  <si>
    <t>Решение Думы Колпашевского района от 18.03.2011 № 20 "О порядке использования средств субсидии из областного бюджета на финансирование расходов, связанных с обеспечением условий для развития физической культуры и массового спорта на территории муниципального образования "Колпашевский район"</t>
  </si>
  <si>
    <t>п.1-7</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</si>
  <si>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распоряжение Главы Колпашевского района от 30.12.2010 № 1144 "Об утверждении плана проведения и сметы расходов по организации и осуществлению мероприятий межпоселенческого характера по работе с детьми и молодёжью на территории муниципального образования "Колпашевский район" за счёт средств бюджета муниципального образования "Колпашевский район" на 2011 год"</t>
  </si>
  <si>
    <t>п.1.3</t>
  </si>
  <si>
    <t xml:space="preserve">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28.01.2010 № 781, от 17.06.2010 № 848, от 13.07.2010 № 873); 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</si>
  <si>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Гл. 6-10</t>
  </si>
  <si>
    <t>ст. 6</t>
  </si>
  <si>
    <t>2013 год</t>
  </si>
  <si>
    <t>Распоряжение Губернатора Томской области от 24.06.2010 № 191-р "О распределении и расходовании субсидии из федерального бюджета на закупку автотранспортных 
средств и коммунальной техники на 2010 год и определении уполномоченных органов"</t>
  </si>
  <si>
    <t>24.06.2010- 31.12.2010</t>
  </si>
  <si>
    <t xml:space="preserve">16.10.2003, не установлен </t>
  </si>
  <si>
    <t>Федеральный Закон от 12.01.1996 № 7-ФЗ "О некоммерческих организациях"</t>
  </si>
  <si>
    <t>24.01.1996, не установлен</t>
  </si>
  <si>
    <t>Федеральный Закон от 21.07.2005 № 94-ФЗ "О размещении заказов на поставки товаров, выполнение работ, оказание услуг для государственных и муниципальных нужд"</t>
  </si>
  <si>
    <t>ст. 4 часть 2, ст.17, 18</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</si>
  <si>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</si>
  <si>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</si>
  <si>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</si>
  <si>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Распоряжение Томской области от 30.06.2010 № 552-ра "О выделении бюджетных ассигнований бюджету МО "Колпашевский район"</t>
  </si>
  <si>
    <t>30.06.2010- 31.12.2010</t>
  </si>
  <si>
    <t>Федеральный закон от 21.12.1994 N 68-ФЗ "О защите населения и территорий от чрезвычайных ситуаций природного и техногенного характера"</t>
  </si>
  <si>
    <t>ст.4</t>
  </si>
  <si>
    <t>24.12.1994, не установлен</t>
  </si>
  <si>
    <t>Федеральный закон от 12.02.1998 N 28-ФЗ "О гражданской обороне"</t>
  </si>
  <si>
    <t>ст.18</t>
  </si>
  <si>
    <t>16.02.1998, не установлен</t>
  </si>
  <si>
    <t xml:space="preserve">Распоряжение Администрации Томской области от 14.10.2009 г. N 721-ра "О выделении бюджетных ассигнований бюджету муниципального образования "Колпашевский район" </t>
  </si>
  <si>
    <t>14.10.2009- 15.04.2010</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</si>
  <si>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</si>
  <si>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</si>
  <si>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</si>
  <si>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</si>
  <si>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</si>
  <si>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</si>
  <si>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</si>
  <si>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Распоряжение Администрации Томской области от 20.12.2010 № 1120-ра "О выделении бюджетных ассигнований бюджету МО "Колпашевский район"</t>
  </si>
  <si>
    <t>20.12.2010- 15.03.2011</t>
  </si>
  <si>
    <t>Распоряжение Администрации Томской области от 21.10.2010 № 894-ра "О выделении бюджетных ассигнований бюджету МО "Колпашевский район"</t>
  </si>
  <si>
    <t>21.10.2010- 20.11.2010</t>
  </si>
  <si>
    <t>Распоряжение Администрации Томской области от 01.12.2010 № 1035-ра "О частичном покрытии расходов на финансовое обеспечение мероприятий, связанных с ликвидацией последствий паводка, произошедшего в апреле - мае 2010 года"</t>
  </si>
  <si>
    <t>01.12.2010- 28.02.2011</t>
  </si>
  <si>
    <t>ст.31 п. 2,4</t>
  </si>
  <si>
    <t>ст. 51, п. 5</t>
  </si>
  <si>
    <t xml:space="preserve">Закон Томской области от 28.12.2010 г. N 327-ОЗ "Об областном бюджете на 2011 год и на плановый период 2012 и 2013 годов" </t>
  </si>
  <si>
    <t>табл. 1 прил.16</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</si>
  <si>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</si>
  <si>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</si>
  <si>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Распоряжение Администрации Томской области от 29.03.2010 № 15-р-в "О выделении бюджетных ассигнований из резервного фонда финансирования непредвиденных расходов Администрации Томской области"</t>
  </si>
  <si>
    <t>29.03.2010- 31.08.2010</t>
  </si>
  <si>
    <t>Постановление Администрации Томской области от 14.04.2010 N 75а "Об утверждении Порядка предоставления иных межбюджетных трансфертов на выплату в 2010 году стипендии Губернатора Томской области лучшим учителям муниципальных образовательных учреждений Томской области"</t>
  </si>
  <si>
    <t>01.04.2010- 31.12.2010</t>
  </si>
  <si>
    <t>п.2 п.п.8), п.22</t>
  </si>
  <si>
    <t>Постановление Правительства РФ от 31.03.2009 N 277 "Об утверждении Положения о лицензировании образовательной деятельности"</t>
  </si>
  <si>
    <t>01.07.2009, не установлен</t>
  </si>
  <si>
    <t>Постановление Администрации Томской области от 01.12.2010 N 237а "Об утверждении распределения финансовых средств и Порядка предоставления иных межбюджетных трансфертов на выплату в 2010 году денежного поощрения коллективам муниципальных образовательных учреждений Томской области, 
внедряющих инновационные образовательные программы, победивших в конкурсном отборе"</t>
  </si>
  <si>
    <t>Приказ Министерства здравоохранения и социального развития РФ от 29.07.2005 N 487 "Об утверждении Порядка организации оказания первичной медико-санитарной помощи"</t>
  </si>
  <si>
    <t>п.2-10</t>
  </si>
  <si>
    <t>13.09.2005, не установлен</t>
  </si>
  <si>
    <t>Закон Томской области от 17.12.2007 N 270-ОЗ "Об утверждении областной целевой программы "Пожарная безопасность на объектах бюджетной сферы Томской области на 2008-2010 годы"</t>
  </si>
  <si>
    <t>ст. 1</t>
  </si>
  <si>
    <t>30.12.2007- 31.12.2010</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</si>
  <si>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</si>
  <si>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</si>
  <si>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</si>
  <si>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</si>
  <si>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</si>
  <si>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</si>
  <si>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Закон Томской области от 07.06.2006 N 121-ОЗ "Об утверждении областной целевой программы "Патриотическое воспитание граждан на территории Томской области на 2006-2010 годы"</t>
  </si>
  <si>
    <t>17.06.2006 - 31.12.2010</t>
  </si>
  <si>
    <t>Федеральный закон от 10.12.1995 N 196-ФЗ "О безопасности дорожного движения"</t>
  </si>
  <si>
    <t>Гл. 3, ст. 10</t>
  </si>
  <si>
    <t>11.12.1995, не установлен</t>
  </si>
  <si>
    <t xml:space="preserve">Распоряжение Администрации Томской области от 10.12.2009 № 894-ра "Об утверждении программы "Профилактика детского дорожно-транспортного травматизма на территории Томской области в 2010 - 2011 годах"
</t>
  </si>
  <si>
    <t>10.12.2009- 31.12.2011</t>
  </si>
  <si>
    <t>Ст. 1-2</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</si>
  <si>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</si>
  <si>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</si>
  <si>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ст. 18</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</si>
  <si>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</si>
  <si>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</si>
  <si>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</si>
  <si>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</si>
  <si>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</si>
  <si>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</si>
  <si>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</si>
  <si>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</si>
  <si>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</si>
  <si>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</si>
  <si>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</si>
  <si>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Постановление Правительства РФ от 31.12.2010 N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</si>
  <si>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 xml:space="preserve">01.01.2011, не установлен; </t>
  </si>
  <si>
    <t>01.01.2006 - 31.12.2011</t>
  </si>
  <si>
    <t>ст.29 п. 6.1.</t>
  </si>
  <si>
    <t>Закон Томской области от 27.01.2006 N 3-ОЗ "Об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t>
  </si>
  <si>
    <t xml:space="preserve">Закон Томской области от 17.12.2007 N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рамках общеобразовательных программ в муниципальных общеобразовательных учреждениях" </t>
  </si>
  <si>
    <t>Федеральный закон от 25.10.2002 № 125-ФЗ "О жилищных субсидиях гражданам, выезжающим из районов Крайнего Севера и приравненных к ним местностей"</t>
  </si>
  <si>
    <t>ст.10</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</si>
  <si>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</si>
  <si>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</si>
  <si>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</si>
  <si>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</si>
  <si>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28.12.2006 N 325-ОЗ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ежегодному изменению и дополнению списков кандидатов в присяжные заседатели федеральных судов общей юрисдикции в Российской Федерации" </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</si>
  <si>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</si>
  <si>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29</t>
  </si>
  <si>
    <t>Закон Томской области от 13.11.2008 N 231-ОЗ "О наделении органов местного самоуправления отдельными государственными полномочиями по проведению аттестации педагогических работников муниципальных образовательных учреждений на первую и вторую квалификационные категории"</t>
  </si>
  <si>
    <t>ст.5</t>
  </si>
  <si>
    <t>01.01.2009- 31.12.2010</t>
  </si>
  <si>
    <t>вводится в действие ежегодно</t>
  </si>
  <si>
    <t>Закон Томской области от 11.01.2007 N 15-ОЗ "Об условиях, размере и порядке осуществления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</si>
  <si>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</si>
  <si>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</si>
  <si>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</si>
  <si>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ст.3</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</si>
  <si>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</si>
  <si>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</si>
  <si>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Закон Томской области от 08.09.2009 N 173-ОЗ "О наделении органов местного самоуправления отдельными государственными полномочиями по воспитанию и обучению детей-инвалидов в муниципальных дошкольных образовательных учреждениях"</t>
  </si>
  <si>
    <t>ст. 1-6</t>
  </si>
  <si>
    <t>Федеральный закон от 25 января 2002 г. N 8-ФЗ
"О Всероссийской переписи населения"</t>
  </si>
  <si>
    <t>ст.11</t>
  </si>
  <si>
    <t>29.01.2002, не установлен</t>
  </si>
  <si>
    <t>Закон Томской области от 14.05.2010 N 87-ОЗ "О наделении органов местного самоуправления отдельными гсударственными полномочиями по подготовке и проведению на территории Томской области Всероссийской переписи населения 2010 года"</t>
  </si>
  <si>
    <t>Постановление Администрации Томской области от 18.06.2009 N 106а "О мерах по улучшению жилищных условий граждан, проживающих в сельской местности на территории Томской области"</t>
  </si>
  <si>
    <t>03.03.2009, не установлен</t>
  </si>
  <si>
    <t>ст.15.1</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</si>
  <si>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</si>
  <si>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</si>
  <si>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Распоряжение Администрации Томской области от 30.03.2010 N 229-ра "О выделении бюджетных ассигнований бюджетам муниципальных образований Томской области"</t>
  </si>
  <si>
    <t>п.2</t>
  </si>
  <si>
    <t>30.03.2010- 31.01.2011</t>
  </si>
  <si>
    <t>Постановление Правительства РФ от 17.09.2001 N 675 "О федеральной целевой программе "Жилище" на 2002 - 2010 годы"</t>
  </si>
  <si>
    <t>п.6</t>
  </si>
  <si>
    <t>17.09.2001- 31.12.2010</t>
  </si>
  <si>
    <t>Постановление Правительства РФ от 17.12.2010 N 1050 "О федеральной целевой программе "Жилище" на 2011 - 2015 годы"</t>
  </si>
  <si>
    <t>01.01.2010 -31.12.2015</t>
  </si>
  <si>
    <t>Постановление Правительства РФ от 03.12.2002 N 858 "О федеральной целевой программе "Социальное развитие села до 2012 года"</t>
  </si>
  <si>
    <t>03.12.02- 31.122012</t>
  </si>
  <si>
    <t>Федеральный закон от 12.01.1996 N 7-ФЗ "О некоммерческих организациях"</t>
  </si>
  <si>
    <t>ст.31</t>
  </si>
  <si>
    <t>Распоряжение Администрации Томской области от 24.09.2010 N 61-р-в "О выделении бюджетных ассигнований из резервного фонда финансирования непредвиденных расходов Администрации Томской области"</t>
  </si>
  <si>
    <t>24.09.2010- 31.12.2010</t>
  </si>
  <si>
    <t>Распоряжение Администрации Томской области от 24.09.2010 N 807-ра "О выделении бюджетных ассигнований бюджету муниципального образования "Колпашевский район"</t>
  </si>
  <si>
    <t>Постановление Правительства РФ от 17 сентября 2001 г. N 675
"О федеральной целевой программе "Жилище" на 2002 - 2010 годы"</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</si>
  <si>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</si>
  <si>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</si>
  <si>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п.22</t>
  </si>
  <si>
    <t>Федеральный закон от 29 декабря 2006 г. N 264-ФЗ
"О развитии сельского хозяйства"</t>
  </si>
  <si>
    <t>ст.7</t>
  </si>
  <si>
    <t>Кодекс Российской Федерации об административных правонарушениях
от 30 декабря 2001 г. N 195-ФЗ</t>
  </si>
  <si>
    <t>ст.22.1</t>
  </si>
  <si>
    <t>01.07.2002, не установлен</t>
  </si>
  <si>
    <t>Федеральный закон от 24 ноября 1995 г. N 181-ФЗ
"О социальной защите инвалидов в Российской Федерации"</t>
  </si>
  <si>
    <t>01.01.1996, не установлен</t>
  </si>
  <si>
    <t>Решение Думы Колпашевского района от 25.04.2011 № 37 "О порядке использования средств субсидии на компенсацию расходов по организацииэлектроснабжения от дизельных электростанций в муниципальном образовании "Колпашевский район"</t>
  </si>
  <si>
    <t>25.04.2011, не установлен</t>
  </si>
  <si>
    <t>Расходы в соответствии с распоряжением АТО от 28.03.2011 № 14-р-в МДОУ "Чажемтовский детский сад" на приобретение элементов детской игровой площадки</t>
  </si>
  <si>
    <t>Расходы в соответствии с распоряжением АТО от 21.03.2011 № 10-р-в МУ ДОД "ДЮСШ имени О.Рахматулиной" на укрепление спортивной базы</t>
  </si>
  <si>
    <t>Гл.3, ст.16</t>
  </si>
  <si>
    <t>МБТ на стимулирующие выплаты в муниципальных дошкольных общеобразовательных учреждениях</t>
  </si>
  <si>
    <t>Постановление Администрации Томской области от 10.02.2011 № 27а "О порядке предоставления иных межбюджетных трансфертов на стимулирующие выплаты в муниципальных дошкольных дошкольных образовательных учреждениях Томской области"</t>
  </si>
  <si>
    <t>Гл.3, ст.17</t>
  </si>
  <si>
    <t>01.02.2011, не установлен</t>
  </si>
  <si>
    <t>Решение Думы Колпашевского района от 18.03.2011 № 24 "О порядке использования иных межбюджетных трансфертов на стимулирующие выплаты в муниципальных дошкольных образовательных учреждениях Томской области"</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</si>
  <si>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23.07.2008 № 509, от 02.07.2009 № 676, от 26.02.2010 № 800, от 13.07.2010 № 876, от 24.12.2010 № 33, от 25.04.2011 № 38)</t>
  </si>
  <si>
    <t>Решение Думы Колпашевского района от 16.04.2010 № 822 "Об использовании средств субсидии на организацию отдыха детей Колпашевского района в каникулярное время"; постановление Администрации Колпашевского района Томской области от 28.03.2011 № 259 "О порядке преобретения и предоставления путёвок в загородные стационарные оздоровительные учреждения, расположенные на территории РФ, на целевые смены и в специализированные (профильные) лагеря, расположенные на территории РФ"</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</si>
  <si>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t>
  </si>
  <si>
    <t>Субвенция на возмещение возмещение гражданам, ведущим личное подсобное хозяйство, с/х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с/х кредитных потребительских кооперативах в 2005 - 2011 годах на срок до 8 лет</t>
  </si>
  <si>
    <t>Расходы на издание книги "И помнит мир спасенный Колпашевских бойцов"</t>
  </si>
  <si>
    <t>Расходы на проведение ремонта жилых помещений ветеранам ВОВ 1941-1945 гг. тружинникам тыла и другим категориям граждан</t>
  </si>
  <si>
    <t>Расходы в соответствии с распоряжением АТО от 31.01.2011 № 45-ра) на проведение социологических исследований</t>
  </si>
  <si>
    <t>Расходы в соответствии с распоряжением АТО от 28.03.2011 № 14-р-в на приобретение железобетонных конструкций для строительства храма "Церковь Вознесения" в г.Колпашево</t>
  </si>
  <si>
    <t>Иные межбюджетные трансферты в соответствии с распоряжением АТО от 28.03.2011 № 14-р-в на укрепление материально-технической базы ДК с.Озерное</t>
  </si>
  <si>
    <t>Иные межбюджетные трансферты в соответствии с распоряжением АТО от 21.03.2011 № 10-р-в на укрепление материально-технической базы ДК "Рыбник"</t>
  </si>
  <si>
    <t>Иные межбюджетные трансферты на поощрение поселенческих команд, учавствовавших в 4-й межпоселенческой спартакиаде в с.Копыловка</t>
  </si>
  <si>
    <t>Иные межбюджетные трансферты на разработку проекта генерального плана Колпашевского городского поселения Колпашевского района ТО и правил землепользования и застройки</t>
  </si>
  <si>
    <t>Иные межбюджетные трансферты на примирование победителей областного ежегодного конкурса на звание "Самое благоустроенное образование Томской области"</t>
  </si>
  <si>
    <t>Распоряжение Администрации Колпашевского района от 25.01.2011 № 23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 в границах МО "Колпашевский район" на 2011 год" (в редакции от 14.04.2011 № 278)</t>
  </si>
  <si>
    <t>20.04.2011- 31.12.2011</t>
  </si>
  <si>
    <t>Решение Думы Колпашевского района от 25.04.2011 № 40 "О порядке использования в 2011 году средств бюджета муниципального образования "Колпашевский район" на издание книги "И помнит мир спасённый Колпашевских бойцов"</t>
  </si>
  <si>
    <t>25.04.2011- 31.12.2011</t>
  </si>
  <si>
    <t>Постановление Администрации Колпашевского района от 10.02.2011 № 100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t>
  </si>
  <si>
    <t>10.02.2011 - 31.03.2011</t>
  </si>
  <si>
    <t>Субсидия на развитие инфраструктуры дошкольного образования</t>
  </si>
  <si>
    <t>п.2 п.п.6</t>
  </si>
  <si>
    <t>Решение Думы Колпашевского района от 20.06.2011 № 59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</si>
  <si>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18.04.2011- 31.12.2011</t>
  </si>
  <si>
    <t>Расходы в соответствии с распоряжением Администрации ТО от 31.05.2011 № 35-р-в МУ ДОД "ДЮСШ имени О.Рахматулиной" на укрепление спортивной базы</t>
  </si>
  <si>
    <t>Распоряжение Администрации Томской области от 31.05.2011 № 35-р-в "О выделении бюджетных ассигнований из резервного фонда финансирования непредвиденных расходов Администрации Томской области"</t>
  </si>
  <si>
    <t>п.1 п.п.7</t>
  </si>
  <si>
    <t>31.05.2011- 31.12.2011</t>
  </si>
  <si>
    <t>Расходы на проведение корректировки проектно-сметной документации на реконструкцию здания МОУ "Новогоренская ООШ"</t>
  </si>
  <si>
    <t>Субсидия на оснащение школьных автобусов аппаратурой спутниковой навигации ГЛОНАС</t>
  </si>
  <si>
    <t>п.2 п.п.13</t>
  </si>
  <si>
    <t>Стипендии Губернатора ТО лучшим учителям областных государственных и муниципальных образовательных учреждений ТО в соответствии с порядком, установленным Администрацией ТО</t>
  </si>
  <si>
    <t>Постановление Администрации Томской области от 20.04.2011 № 108а "Об утверждении Порядка предоставления иныхмежбюджетных трансфертов на выплату в 2011 году стипендии Губернатора Томской области лучшим учителям муниципальных образовательных учреждений Томской области"</t>
  </si>
  <si>
    <t>Решение Думы Колпашевского района от 23.05.2011  №  48 "О порядке использования иных межбюджетных трансфертов на выплату в 2011 году стипендии Губернатора Томской области лучшим учителям муниципальных общеобразовательных учреждений Томской области"</t>
  </si>
  <si>
    <t>Постановление Правительства РФ от 3.12.2002 г. N 858 "О федеральной целевой программе "Социальное развитие села до 2013 года"</t>
  </si>
  <si>
    <t>03.12.2002, не установлен</t>
  </si>
  <si>
    <t xml:space="preserve">Закон Томской области от 19.02.2004 N 30-ОЗ "Об утверждении областной целевой программы "Социальное развитие села Томской области до 2012 года" </t>
  </si>
  <si>
    <t>ст.1</t>
  </si>
  <si>
    <t>24.02.2004, не установлен</t>
  </si>
  <si>
    <t>Решение Думы Колпашевского района от 23.05.2011  №  51 "О порядке использования средств бюджета МО «Колпашевский район» на проведение мероприятий по улучшению жилищных условий граждан, проживающих в сельской местности"</t>
  </si>
  <si>
    <t>23.05.2011- 31.12.2011</t>
  </si>
  <si>
    <t>Расходы в соответствии с распоряжением АТО от 20.04.2011 № 22-р-в на приобретение железобетонных конструкций для строительства храма "Церковь Вознесения" в г.Колпашево</t>
  </si>
  <si>
    <t>Постановление Администрации Колпашевского района от 11.05.2011 № 442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</si>
  <si>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11.05.2011- 31.12.2011</t>
  </si>
  <si>
    <t>Распоряжение Администрации Томской области от 20.04.2011 N 22-р-в "О выделении бюджетных ассигнований из резервного фонда финансирования непредвиденных расходов Администрации Томской области"</t>
  </si>
  <si>
    <t>Распоряжение Администрации Томской области от 28.03.2011 N 14-р-в "О выделении бюджетных ассигнований из резервного фонда финансирования непредвиденных расходов Администрации Томской области"</t>
  </si>
  <si>
    <t>28.03.2011- 31.12.2011</t>
  </si>
  <si>
    <t>Софинансирование расходов для ремонта и (или) переустройства жилых помещений граждан, не состоящих на учете в качестве нуждающихся в улучшении жилищных условий и не реализовавших свое право на улучшение жилищных условий (в соответствии с распоряжением АТО от 06.05.2011 № 382-ра)</t>
  </si>
  <si>
    <t>Распоряжение Администрации Томской области от 06.05.2011 N 382-ра "О выделении бюджетных ассигнований бюджетам муниципальных образований Томской области"</t>
  </si>
  <si>
    <t>06.05.2011- 31.12.2011</t>
  </si>
  <si>
    <t>Федеральный закон от 12.01.1995 N 5-ФЗ "О ветеранах"</t>
  </si>
  <si>
    <t>ст. 21</t>
  </si>
  <si>
    <t>16.01.1995, не установлен</t>
  </si>
  <si>
    <t>Решение Думы Колпашевского района от 20.06.2011 № 73 "О предоставлении за счет средств бюджета муниципального образования "Колпашевский район" социальной помощи на ремонт и (или) переустройство жилых помещений граждан,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2009-2011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</si>
  <si>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20.06.2011- 31.12.2011</t>
  </si>
  <si>
    <t>Иные межбюджетные трансферты для МУ "ЦКД" на приобретение танцевальной обуви для ансамбля русской песни ГДК (в соответствии с распоряжением Администрации ТО от 13.05.2011 № 29-р-в)</t>
  </si>
  <si>
    <t>Иные межбюджетные трансферты для финансового обеспечения работ по устройству противопожарных защитных (минерализированных) полос для защиты с.Копыловка, копыловского сельского поселения, расположенного в 100 метрах от леса (в соответствии с распоряжением Администрации ТО от 04.05.2011 № 365-ра)</t>
  </si>
  <si>
    <t>Иные межбюджетные трансферты на приобретение материалов для ремонта канализационной системы домов по адресу: г.Колпашево, ул. Чапаева, 18/1, 20/1 (в соответствиии с распоряжением АТО от 20.04.2011 № 22-р-в)</t>
  </si>
  <si>
    <t>Иные межбюджетные трансферты на приобретение автомобиля УАЗ 220694 для перевозки пассажиров</t>
  </si>
  <si>
    <t>Иные межбюджетные трансферты на приобретение материалов на ремонт и содержание уличного освещения</t>
  </si>
  <si>
    <t>Иные межбюджетные трансферты на приобретение контейнеров для сбора бытового мусора</t>
  </si>
  <si>
    <t>Иные межбюджетные трансферты на строительство и проведение ремонта объектов спортивной направленности</t>
  </si>
  <si>
    <t>Иные межбюджетные трансферты на выполнение работ по изготовлению проектно-сметной документации с инженерно-геологическими изысканиями</t>
  </si>
  <si>
    <t>Иные межбюджетные трансферты на проведение работ по ремонту и утеплению фасада жилого дома по ул. Коммунистическая 6/1</t>
  </si>
  <si>
    <t>Иные межбюджетные трансферты на благоустройство территории и изготовление торговых павильонов для проведения ярморок "Колпашевское городское поселение"</t>
  </si>
  <si>
    <t>Иные межбюджетные трансферты на подготовку генеральных планов, правил землепользования и застройки поселений и городских округов</t>
  </si>
  <si>
    <t>Расходы в соответствии с распоряжением АТО от 16.05.2011 № 414-ра) на проведение социологических исследований</t>
  </si>
  <si>
    <t>Распоряжение Админстрации Томской области от 31.01.2011 № 45-ра "О выделении бюджетных ассигнований бюджетам муниципальных образований Томской области"</t>
  </si>
  <si>
    <t>31.01.2011- 20.03.2011</t>
  </si>
  <si>
    <t>Распоряжение Админстрации Томской области от 16.05.2011 № 414-ра "О выделении бюджетных ассигнований бюджетам муниципальных образований Томской области"</t>
  </si>
  <si>
    <t>16.05.2011- 31.12.2011</t>
  </si>
  <si>
    <t>Постановление Администрации Колпашевского района от 02.06.2011 № 530 "О порядке расходования средств субсидии из резервного фонда финансирования непредвиденных расходов Администрации Томской области для проведения социологических исследований"</t>
  </si>
  <si>
    <t>02.06.2011 - 31.03.2011</t>
  </si>
  <si>
    <t>МБТ для проведения аварийно-восстановительных работ на автомобильной дороге "Тогур-Север-Дальнее-Куржино-Копыловка" (в соответствии с распоряжением Администрации ТО от 18.07.2011 № 678-ра)</t>
  </si>
  <si>
    <t>МБТ на приобретение жилых помещений для отселения жителей г.Колпашево из опасной зоны обрушающихся берегов р.Оби, проживающих по адресам: г. Колпашево- ул. Дзержинского, дд. 57,67,71,73,75 (в соответствии с рапоряжением Администрации ТО от 30.03.2011 № 247-ра)</t>
  </si>
  <si>
    <t>МБТ на предупреждение черезвычайной ситуации, связанной с переселением жителей домов с обрушающегося берега р.Обь в районе г.Колпашево, ул. Дзержинского, дд. 37,47,49,59,77,79 (в соответствии с рапоряжением Администрации ТО от 18.07.2011 № 675-ра)</t>
  </si>
  <si>
    <t>Решение Думы Колпашевского района от 23.08.2010 № 912 "О порядке расходования средств субсидии из целевого финансового резерва Томской области для предупреждения черезвычайных ситуаций для расселения жителей Колпашевского района из опасной зоны обрушающихся берегов р.Обь согласно списку переселенных жилых домов с обрушающегося берега р.Обь в 2010 году" (в редакции от 06.07.2011 № 79)</t>
  </si>
  <si>
    <t>п.1-8</t>
  </si>
  <si>
    <t>23.08.2010- не установлен</t>
  </si>
  <si>
    <t>Решение Думы Колпашевского района от 29.08.2011 № 107 "О порядке расходования средств иных межбюджетных трансфертов из целевого финансового резерва Томской области для предупреждения черезвычайных ситуаций для расселения жителей Колпашевского района из опасной зоны обрушающихся берегов р.Обь"</t>
  </si>
  <si>
    <t>29.08.2011- 31.12.2011</t>
  </si>
  <si>
    <t>МБТ для МДОУ "Детский сад комбинированного вида № 17" на приобретение элементов детской игровой площадки (в соответствии с распоряжением Администрации ТО от 16.06.2011 № 43-р-в)</t>
  </si>
  <si>
    <t>МБТ по распоряжению Администрации ТО от 02.08.2011 № 58-р-в</t>
  </si>
  <si>
    <t>Постановление Администрации Колпашевского района от 23.08.2011 № 849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</si>
  <si>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23.08.2011- 31.12.2011</t>
  </si>
  <si>
    <t>МБТ МДОУ "Озеренский детский сад" на приобретение малых архитектурных форм для игрового участка (в соответствии с распоряжением Администрации ТО от 29.06.2011 № 48-р-в)</t>
  </si>
  <si>
    <t>Расходы в соответствиии с распоряжением Администрации ТО от 29.06.2011 № 48-р-в МОУ ДОД "Детская школа искусств с. Тогур" на приобретение духовых инструментов и комплектующих к ним</t>
  </si>
  <si>
    <t>Расходы в соответствии с распоряжением Администрации ТО от 29.06.2011 № 48-р-в МОУ "СОШ № 2" на приобретение танцевальных костюмов для хореографического коллектива "Глория"</t>
  </si>
  <si>
    <t>Расходы в соответствии с распоряжением Администрации ТО от 20.07.2011 № 53-р-в МОУ "СОШ № 4" на приобретение и установку спортивной игровой площадки</t>
  </si>
  <si>
    <t>Расходы на укрепление материально- технической базы учреждений здравоохранения в рамках реализации региональной Программы модернизации здравоохранения Томской области на 2011-2012 годы</t>
  </si>
  <si>
    <t>Расходы на обеспечение организации и проведение подготовки и переподготовки медицинских кадров муниципальных учреждений здравоохранения за счет областного бюджета</t>
  </si>
  <si>
    <t>Межбюджетные трансферты по распоряжению Администрации Томской области от 02.08.2011 № 58-р-в</t>
  </si>
  <si>
    <t>Решение Думы Колпашевского района от 29.08.2011 № 88 "Об использовании иных межбюджетных трансыертов на обеспечение организации и проведение подготовки и переподготовки медецинских кадров муниципальных учреждений здравоохранения"</t>
  </si>
  <si>
    <t>29.08.2011, не установлен</t>
  </si>
  <si>
    <t>Постановление Администрации Колпашевского района от 19.08.2011 № 836 "Об утверждении Порядка обеспечения организации и проведения подготовки и переподготовки медицинских кадров муниципальных учреждений здравоохранения"</t>
  </si>
  <si>
    <t>19.08.2011, не установлен</t>
  </si>
  <si>
    <t>расходы на содержание МКУ "Архив"</t>
  </si>
  <si>
    <t>Расходы на реализацию долгосрочной целевой программы "Подготовка спортивных сооружений к проведению на территории Колпашевского района финальных областных летних сельских спортивных игр "Стадион для всех" в 2013 году"</t>
  </si>
  <si>
    <t>Расходы в соответствии с распоряжением АТО от 12.07.2011 № 658-ра на возмещение затрат, связанных со строительством храма "Церковь Вознесения" в г.Колпашево</t>
  </si>
  <si>
    <t>ИМБТ для продолжения строительства храма в г. Колпашево (в соответствии с распоряжением Администрации ТО от 20.07.2011 № 690-ра)</t>
  </si>
  <si>
    <t>МБТ на приобретение оргтехники для Колпашевского районного Совета ветеранов (пенсионеров) войны, труда, Вооруженных сил и правоохранительных органов (в соответствии с распоряжением Администрации ТО от 02.08.2011 № 58-р-в</t>
  </si>
  <si>
    <t>Распоряжение Администрации Томской области от 12.07.2011 N 658-ра "О выделении бюджетных ассигнований резервного фонда финансирования непредвиденных расходов Администрации Томской области"</t>
  </si>
  <si>
    <t>пп.1) п.1</t>
  </si>
  <si>
    <t>12.07.2011- 31.12.2011</t>
  </si>
  <si>
    <t>Распоряжение Администрации Томской области от 20.07.2011 N 690-ра "О выделении бюджетных ассигнований резервного фонда финансирования непредвиденных расходов Администрации Томской области"</t>
  </si>
  <si>
    <t>Иные межбюджетные трансферты на компенсацию части расходов граждан на организацию водоснабжения жилья</t>
  </si>
  <si>
    <t>Иные межбюджетные трансферты на приобретение материалов и оборудования для детской площадки в д.Маракса, ул. Межлесхозная, 15/1 (в соответствии с распоряжением Администрации ТО от 20.07.2011 № 53-ра)</t>
  </si>
  <si>
    <t>Иные межбюджетные трансферты на приобретение материалов МУ "ЦКД" для ремонта помещений Дома культуры "Рыбник", в соответствии с распоряжением АТО от 02.08.2011 № 58-р-в)</t>
  </si>
  <si>
    <t>Иные межбюджетные трансферты на выполнение инженерно- геологического обоснования для проектирования газовых котельных</t>
  </si>
  <si>
    <t>Иные межбюджетные трансферты на укрепление материально-технической базы МУ "Инкинский СКДЦ" (в соответствии с распоряжением АТО от 20.07.2011 № 53-р-в)</t>
  </si>
  <si>
    <t>Распоряжение Администрации Томской области от 02.08.2011 N 58-р-в "О выделении бюджетных ассигнований из резервного фонда финансирования непредвиденных расходов Администрации Томской области"</t>
  </si>
  <si>
    <t>пп а) п.8)</t>
  </si>
  <si>
    <t>02.08.2011- 31.12.2011</t>
  </si>
  <si>
    <t>Постановление Администрации Томской области от 16.06.2011 N 184а "О порядке предоставления иных межбюджетных трансфертов на укрепление материально-технической базы учреждений здравоохранения в рамках реализации региональной Программы модернизации здравоохранения Томской области на 2011-2012 годы"</t>
  </si>
  <si>
    <t>11.07.2011- 31.12.2012</t>
  </si>
  <si>
    <t>Постановление Администрации Томской области от 10.06.2011 N 135а "О порядке предоставления иных межбюджетных трансфертов на обеспечение организации и проведение подготовки и переподготовки медицинских кадров муниципальных учреждений здравоохранения"</t>
  </si>
  <si>
    <t>п 1-3</t>
  </si>
  <si>
    <t>27.05.2011- 31.12.2011</t>
  </si>
  <si>
    <t>пп з) п.8)</t>
  </si>
  <si>
    <t>Распоряжение Администрации Томской области от 20.07.2011 N 53-р-в "О выделении бюджетных ассигнований из резервного фонда финансирования непредвиденных расходов Администрации Томской области"</t>
  </si>
  <si>
    <t>пп в) п.8)</t>
  </si>
  <si>
    <t>20.07.2011- 31.12.2011</t>
  </si>
  <si>
    <t>Распоряжение Администрации Томской области от 29.06.2011 N 48-р-в "О выделении бюджетных ассигнований из резервного фонда финансирования непредвиденных расходов Администрации Томской области"</t>
  </si>
  <si>
    <t>пп а) п.7)</t>
  </si>
  <si>
    <t>29.06.2011- 31.12.2011</t>
  </si>
  <si>
    <t>пп в) п.7)</t>
  </si>
  <si>
    <t>пп б) п.7)</t>
  </si>
  <si>
    <t>пп д),е) п.8)</t>
  </si>
  <si>
    <t>пп в),г) п.8)</t>
  </si>
  <si>
    <t>Распоряжение Администрации Томской области от 16.06.2011 N 43-р-в "О выделении бюджетных ассигнований из резервного фонда финансирования непредвиденных расходов Администрации Томской области"</t>
  </si>
  <si>
    <t>16.06.2011- 31.12.2011</t>
  </si>
  <si>
    <t>п.9)</t>
  </si>
  <si>
    <t>Распоряжение Администрации Томской области от 18.07.2011 № 675-ра "О выделении бюджетных ассигнований бюджету муниципального образования "Колпашевский район"</t>
  </si>
  <si>
    <t>18.07.2011- 31.12.2011</t>
  </si>
  <si>
    <t>Распоряжение Администрации Томской области от 30.03.2011 N 247-ра "О внесении изменений в распоряжение 
Администрации Томской области от 19.08.2010 N 710-ра"</t>
  </si>
  <si>
    <t>25.02.2011- 31.12.2011</t>
  </si>
  <si>
    <t>Распоряжение Администрации Томской области от 18.07.2011 N 678-ра "О выделении бюджетных ассигнований бюджету муниципального образования "Колпашевский район"</t>
  </si>
  <si>
    <t>Иные межбюджетные трансферты на приобретение материалов для ремонта квартир малообеспеченных пенсионеров в с.Чажемто (в соответствии с распоряжением АТО от 09.06.2011 № 40-р-в)</t>
  </si>
  <si>
    <t>Иные межбюджетные трансферты на поощрение поселенческих команд, учавствовавших в 6-й летней межпоселенческой спартакиаде в д. Новогорное</t>
  </si>
  <si>
    <t>Иные межбюджетные трансферты на строительство и оборудование помещения для установки резервного источника электроснабжения котельной и ремонт теплотрассы в с.Инкино</t>
  </si>
  <si>
    <t>Иные межбюджетные трансферты на ремонт водопровода в с.Маракса</t>
  </si>
  <si>
    <t>Иные межбюджетные трансферты на укрепление материально- технической базы МУ "Саровский СКДЦ" (в соответствии с распоряжением АТО от 16.06.2011 № 562-ра)</t>
  </si>
  <si>
    <t>Иные межбюджетные трансферты на изготовление и установку детских игровых площадок по адресам: г.Колпашево ул.Коммунистическая 7, с.Тогур, ул. Октябрьская, 111 в соответствии с распоряжением АТО от 02.08.2011 № 58-р-в</t>
  </si>
  <si>
    <t>Иные межбюджетные трансферты на исполнение судебных актов по обеспечению жилыми помещениями детей-сирот, оставшихся без попечения родителей, а также лиц из их числа, не имеющих закрепленного жилого помещения</t>
  </si>
  <si>
    <t>Иные межбюджетные трансферты на ремонт теплосети и сети горячего водоснабжения по адресу: г.Колпашево, мкр.Геолог, 16 (от тепловой камеры ТК-7 до МДОУ № 3)</t>
  </si>
  <si>
    <t>Иные межбюджетные трансферты МО "Чажемтовское сельское поселение" на строительство ВЛЭП по ул. Ягодная с. Чажемто"</t>
  </si>
  <si>
    <t>Иные межбюджетные трансферты МО "Чажемтовское сельское поселение" на строительство ВЛЭП по пер.Таежному с. Чажемто</t>
  </si>
  <si>
    <t>Иные межбюджетные трансферты МО "Чажемтовское сельское поселение" на строительство гравированной дороги по ул. Ягодная в с.Чажемто с. Чажемто</t>
  </si>
  <si>
    <t>Дотации на поддержку мер по обеспечению сбалансированности местных бюджетов</t>
  </si>
  <si>
    <t>Иные межбюджетные трансферты на строительство инженерной инфраструктуры территорий индивидуальной застройки в с.Чажемто (в соответствии с распоряжением АТО от 20.07.2011 № 690-ра)</t>
  </si>
  <si>
    <t>Дотации на поддержку мер по обеспечению сбалансированности бюджетов поселений</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</si>
  <si>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</si>
  <si>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</si>
  <si>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</si>
  <si>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ИМБТ на проведение торжественного мероприятия, посвященного 230-летию микрорайона Матьянга г.Колпашево для МУ "Центр культуры и досуга"</t>
  </si>
  <si>
    <t>Иные межбюджетные трансферты на укрепление материально-технической базы МУ "Библиотека" (в соответствии с распоряжением АТО от 25.08.2011 № 65-р-в)</t>
  </si>
  <si>
    <t>Иные межбюджетные трансферты на укрепление материально-технической базы МУ "Новоселовский СКДЦ"</t>
  </si>
  <si>
    <t>Иные межбюджетные трансферты на укрепление материально-технической базы МУ "Саровский СКДЦ"</t>
  </si>
  <si>
    <t>Иные межбюджетные трансферты на укрепление материально-технической базы МУ "Саровский СКДЦ" (в соответствии с распоряжением АТО от 22.09.2011 № 72-р-в)</t>
  </si>
  <si>
    <t>Иные межбюджетные трансферты на изготовление и установку стелы в с. Чугунка погибшим землякам - участникам ВОв (в соответствии с распоряжением Адмсинистрации ТО от 12.08.2011 № 61-р-в)</t>
  </si>
  <si>
    <t>Иные межбюджетные трансферты на приобретение театральных кресел МУ "Новогоренский СКДЦ" (в соответствии с распоряжением Администрации ТО от 12.08.2011 № 61-р-в)</t>
  </si>
  <si>
    <t>Иные межбюджетные трансферты на разработку проекта раздевалки на стадионе в с. Тогур (в соответствии с распоряжением Администрации ТО от 25.08.2011 № 65-р-в)</t>
  </si>
  <si>
    <t>Иные межбюджетные трансферты на приобретение мебели МУ "Саровский СКДЦ", на укрепление материально-технической базы ДК с. Новоильинка (в соответствии с распоряжением Администрации ТО от 12.08.2011 № 61-р-в)</t>
  </si>
  <si>
    <t>Иные межбюджетные трансферты на подготовку и проведение поселенческой сельскохозяйственной ярмарки</t>
  </si>
  <si>
    <t>Иные межбюджетные трансферты на приобретение занавеса для сцены МУ "ЦКД", в том числе для ДК "Рыбник" (в соответствии с распоряжением Администрации ТО от 12.08.2011 № 61-р-в)</t>
  </si>
  <si>
    <t>Иные межбюджетные трансферты МУ "Чажемтовский СКДЦ" (в соответствии с распоряжением Администрации ТО от 12.08.2011 № 61-р-в)</t>
  </si>
  <si>
    <t>Иные межбюджетные трансферты на проведение выборов Главы муниципального образования "Колпашевское городское поселение"</t>
  </si>
  <si>
    <t>Иные межбюджетные трансферты на исполнение судебного решения по обеспечению жилыми помещениями детей-сирот, оставшихся без попечения родителей, а также детей из их числа, не имеющих закрепленного жилого помещения</t>
  </si>
  <si>
    <t>Иные межбюджетные трансферты на капитальный ремонт муниципальных жилых помещений</t>
  </si>
  <si>
    <t>Иные межбюджетные трансферты на ремонт жилого дома по адресу: с. Чажемто, ул. Зеленая, 2 (в соответствии с распоряжением Администрации ТО от 11.08.2011 № 778-ра)</t>
  </si>
  <si>
    <t>Иные межбюджетные трансферты на строительство комплексной спортивной площадки в с.Тогур Колпашевского района</t>
  </si>
  <si>
    <t>Субсидия бюджетам МО на организацию проведения обучения основам энергосбережения, в рамках ДЦП "Энергосбережение и повышение энергетической Эффективности на территории ТО на 2010-2012 годы и на перспективу до 2020 года"</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</si>
  <si>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</si>
  <si>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</si>
  <si>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</si>
  <si>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МБТ МДОУ "Детский сад общеразвивающего вида № 19" г.Колпашево на приобретение игрового оборудования</t>
  </si>
  <si>
    <t>Распоряжение Администрации Томской области от 25.08.2011 N 65-р-в "О выделении бюджетных ассигнований из резервного фонда финансирования непредвиденных расходов Администрации Томской области"</t>
  </si>
  <si>
    <t>пп в) п.6)</t>
  </si>
  <si>
    <t>25.08.2011- 31.12.2011</t>
  </si>
  <si>
    <t>Постановление Администрации Колпашевского района от 12.09.2011 № 961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</si>
  <si>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12.09.2011- 31.12.2011</t>
  </si>
  <si>
    <t>Расходы на укрепление материально-технической базы муниципальных образовательных учреждений, приобретение материалов для ремонта муниципальных образовательных учреждений (в соответствии с распоряжением АТО от 12.08.2011 № 61-р-в)</t>
  </si>
  <si>
    <t>Распоряжение Администрации Томской области от 12.08.2011 N 61-р-в "О выделении бюджетных ассигнований из резервного фонда финансирования непредвиденных расходов Администрации Томской области"</t>
  </si>
  <si>
    <t>пп б)-ж) п.9)</t>
  </si>
  <si>
    <t>Постановление Администрации Колпашевского района от 31.08.2011 № 883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</si>
  <si>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31.08.2011- 31.12.2011</t>
  </si>
  <si>
    <t>Межбюджетные трансферты МОУ "Новоселовская СОШ" на укрепление материально-технической базы (в соответствии с распоряжением Администрации ТО от 17.08.2011 № 63-р-в)</t>
  </si>
  <si>
    <t>Распоряжение Администрации Томской области от 17.08.2011 N 63-р-в "О выделении бюджетных ассигнований из резервного фонда финансирования непредвиденных расходов Администрации Томской области"</t>
  </si>
  <si>
    <t>п.10)</t>
  </si>
  <si>
    <t>Постановление Администрации Колпашевского района от 12.09.2011 № 960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</si>
  <si>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Межбюджетные трансферты на укрепление материально - технической базы общеобразовательным учреждениям (в соответствии с распоряжением Администрации ТО от 06.09.2011 № 71-р-в)</t>
  </si>
  <si>
    <t>Распоряжение Администрации Томской области от 06.09.2011 N 71-р-в "О выделении бюджетных ассигнований из резервного фонда финансирования непредвиденных расходов Администрации Томской области"</t>
  </si>
  <si>
    <t>п.8)</t>
  </si>
  <si>
    <t>12.08.2011- 31.12.2011</t>
  </si>
  <si>
    <t>17.08.2011- 31.12.2011</t>
  </si>
  <si>
    <t>06.09.2011- 31.12.2011</t>
  </si>
  <si>
    <t>Постановление Администрации Колпашевского района от 26.09.2011 № 1014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</si>
  <si>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26.09.2011- 31.12.2011</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</si>
  <si>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</si>
  <si>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</si>
  <si>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</si>
  <si>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</si>
  <si>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Расходы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 за счет средств местного бюджета</t>
  </si>
  <si>
    <t>Иные межбюджетные трансферты на организацию благоустройства территорий (за счет средств местного бюджета)</t>
  </si>
  <si>
    <t>Иные межбюджетные трансферты МО "Колпашевское городское поселение" на оказание содействия в реализации энергоэффективных проектов"</t>
  </si>
  <si>
    <t>Иные межбюджетные трансферты на изготовление и установку спортивных сооружений в д. Маракса, включая приобретение пиломатериала</t>
  </si>
  <si>
    <t>Иные межбюджетные трансферты на организацию благоустройства территорий (за счет средств обл. бюджета)</t>
  </si>
  <si>
    <t>Иные межбюджетные трансферты на капитальный ремонт жилых помещений, находящихся в муниципальной собственности МО "Новоселовское сельское поселение"</t>
  </si>
  <si>
    <t>Решение Думы Колпашевского района от 17.10.2011 № 129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</si>
  <si>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13.10.2011, не установлен</t>
  </si>
  <si>
    <t>Решение Думы Колпашевского района от 25.11.2011 № 137 "О порядке использования средств субсидии  из областного бюджета на развитие инфраструктуры дошкольного образования муниципальных образований Томской области"</t>
  </si>
  <si>
    <t>08.11.2011, не установлен</t>
  </si>
  <si>
    <t>Решение Думы Колпашевского района от 29.08.2011 № 92 "О порядке использования средств субсидии из областного бюджета на оснащение школьных автобусов аппаратурой спутниковой навигации ГЛОНАСС"</t>
  </si>
  <si>
    <t>16.06.2011, не установлен</t>
  </si>
  <si>
    <t>Субсидия на реализацию комплексных программ поддержки развития дошкольных образовательных учреждений (федеральный бюджет)</t>
  </si>
  <si>
    <t>п.2 п.п.20, п.26</t>
  </si>
  <si>
    <t>Решение Думы Колпашевского района от 25.11.2011 № 141 "О порядке использования средств субсидии на реализацию комплексных программ поддержки развития дошкольных образовательных учреждений муниципальных образований Томской области"</t>
  </si>
  <si>
    <t>21.11.2011- 31.12.2011</t>
  </si>
  <si>
    <t>Расходы в соответствии с распоряжением Администрации ТО от 21.09.2011 № 75-р-в на приобретение танцевальных костюмов для хореографического коллектива "Глория"</t>
  </si>
  <si>
    <t>Постановление Администрации Колпашевского района от 05.10.2011 № 1048 "О порядке расходования средств межбюджетных трансфертов из резервного фонда финансирования непредвиденных расходов Администрации Томской области"</t>
  </si>
  <si>
    <t>05.10.2011- 31.12.2011</t>
  </si>
  <si>
    <t>Распоряжение Администрации Томской области от 21.09.2011 N 75-р-в "О выделении бюджетных ассигнований из резервного фонда финансирования непредвиденных расходов Администрации Томской области"</t>
  </si>
  <si>
    <t>п.7) п.п.б)</t>
  </si>
  <si>
    <t>21.09.2011- 31.12.2011</t>
  </si>
  <si>
    <t xml:space="preserve">Субсидия на реализацию комплекса мер по модернизации общего образования Томской области в 2011 году </t>
  </si>
  <si>
    <t>Решение Думы Колпашевского района от 25.11.2011 № 135 "О порядке использования средств субсидии на модернизацию региональных систем общего образования"</t>
  </si>
  <si>
    <t>20.10.2011- 31.12.2011</t>
  </si>
  <si>
    <t>Постановление Администрации Томской области от 20.09.2011 N 286а "О финансовом обеспечении реализации комплекса мер по модернизации общего образования Томской области в 2011 году"</t>
  </si>
  <si>
    <t>20.09.2011- 31.12.2011</t>
  </si>
  <si>
    <t>Решение Думы Колпашевского района от 14.02.2011 № 5 "О мерах по реализации Закона Томской области от 17.12.2007 № 276-ОЗ "О выделении субвенций местным бюджетам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образования,а также дополнительного образования в рамках основных общеобразовательных программ в муниципальных общеобразовательных  учреждениях" (в редакции от 25.11.2011 № 140)</t>
  </si>
  <si>
    <t>Субвенция на обеспечение жильем граждан, уволенных с военной службы, и приравненых к ним лицам</t>
  </si>
  <si>
    <t>Постановление Администрации Колпашевского района от 22.11.2011 № 1226 "О утверждении Положения о порядке перечисления гражданам единовременной денежной выплаты на приобретение или строительство жилого помещения на территории Томской области органами местного самоуправления муниципального образования «Колпашевский район» за счёт средств федерального бюджета в соответствии с Федеральным законом от 27 мая 1998 г. № 76-ФЗ «О статусе военнослужащих» и Федеральным   законом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t>
  </si>
  <si>
    <t>22.11.2011- 31.12.2011</t>
  </si>
  <si>
    <t>Федеральный закон от 27.05.1998 N 76-ФЗ "О статусе военнослужащих"</t>
  </si>
  <si>
    <t>ст.3 п.4</t>
  </si>
  <si>
    <t>01.01.1998, не установлен</t>
  </si>
  <si>
    <t>Закон Томской области от 08.08.2011 N 163-ОЗ "О наделении органов местного самоуправления отдельными государственными полномочиями по обеспечению жилыми помещениями отдельных категорий граждан за счет средств федерального бюджета в соответствии с Федеральным законом от 27.05.1998 N 76-ФЗ "О статусе военнослужащих" и Федеральным законом от 08.12.2010 N 342-ФЗ "О внесении изменений в Федеральный закон "О статусе военнослужащих" и об обеспечении жилыми помещениями некоторых категорий граждан"</t>
  </si>
  <si>
    <t>ст. 3</t>
  </si>
  <si>
    <t>10.09.2011, не установлен</t>
  </si>
  <si>
    <t>2.3.30.</t>
  </si>
  <si>
    <t>Постановление Администрации Колпашевского района от 12.09.2011 № 937 "О порядке предоставления субсидии Колпашевской районной организации Томского регионального отделения Всероссийской общественной организации ветеранов (пенсионеров) войны труда Вооруженных Сил и правоохранительных органов"</t>
  </si>
  <si>
    <t>Постановление Администрации Колпашевского района от 14.09.2011 № 972 "О порядке предоставления субсидии Томскому Региональному Общественному Благотворительному Фонду "Колпашевская церковь Вознесения" на возмещение затрат, связанных со строительством храма "Церковь Вознесения" в г. Колпашево"</t>
  </si>
  <si>
    <t>14.09.2011- 31.12.2011</t>
  </si>
  <si>
    <t>п. 1 абз. 3</t>
  </si>
  <si>
    <t>Расходы на реализацию подпрограммы "Обеспечение жильем молодых семей" (ФЦП "Жилище" на 2011-2015гг.) (федеральный бюджет)</t>
  </si>
  <si>
    <t>Расходы на реализацию долгосрочной целевой программы "Обеспечение жильем молодых семей в Томской области на 2011-2015гг." (областной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</si>
  <si>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</si>
  <si>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</si>
  <si>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</si>
  <si>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Иные межбюджетные трансферты на награждение муниципального образования "Саровское сельское поселение", победителя районной сельскохозяйственной ярмарки "Дары осени"</t>
  </si>
  <si>
    <t>Иные межбюджетные трансферты на ремонт автомобиля УАЗ-220694-04</t>
  </si>
  <si>
    <t>Иные межбюджетные трансферты на организацию электроснабжения котельных Новоселовского сельского поселения</t>
  </si>
  <si>
    <t>Иные межбюджетные трансферты на укрепление материально-технической базы МУ "Новогоренский СКДЦ"</t>
  </si>
  <si>
    <t>Иные межбюджетные трансферты на изготовление и установку детской игровой площадки по адресу: г.Колпашево, ул.Сосновая, 9 (в соответствии с распоряжением АТО от 29.09.2011 № 77-р-в)</t>
  </si>
  <si>
    <t>Иные межбюджетные трансферты на приобретение топлива для организации теплоснабжения Дома культуры с.Новоильинка</t>
  </si>
  <si>
    <t>Иные межбюджетные трансферты на изготовление и установку детской игровой площадки в с.Тогур, ул. Пушкина, д.34 (в соответствии с распоряжением Администрации ТО от 21.10.2011 № 85-р-в)</t>
  </si>
  <si>
    <t>Иные межбюджетные трансферты Администрации Колпашевского городского поселения на укрепление материально-технической базы (в соответствии с распоряжением Администрации ТО от 21.09.2011 № 75-р-в)</t>
  </si>
  <si>
    <t>Иные межбюджетные трансферты на приобретение и установку водосборных желобов и водосточных труб на жилом доме по адресу: г.Колпашево, ул. Обская, 27 (в соответствии с распоряжением Администрации ТО от 21.10.2011 № 85-р-в)</t>
  </si>
  <si>
    <t>Иные межбюджетные трансферты на приобретение танцевальной обуви и на приобретение линолиума МУ "ЦКД" (в соответствии с рапоряжением Администрации ТО от 21.10.2011 № 85-р-в)</t>
  </si>
  <si>
    <t>Иные межбюджетные трансферты на ремонт тепловых сетей холодного водоснабжения от модульной котельной "ТГТ" до МДОУ № 9</t>
  </si>
  <si>
    <t xml:space="preserve">Иные межбюджетные трансферты для долевого участия в проведении работ на аварийном объекте - наружном водопроводе в г.Колпашево, ул.Горького (от ул.Ленина до ул.Коммунистическая), с целью предупреждения черезвычайной ситуации, связанной с обеспечением населения водой (в соответствии с распоряжением Администрации ТО от 24.10.2011 № 1051-ра) </t>
  </si>
  <si>
    <t>Иные межбюджетные трансферты на строительство водопровода (в соответствии с распоряжением Администрации ТО от 27.10.2011 № 1080-ра)</t>
  </si>
  <si>
    <t>Иные межбюджетные трансферты на укрепление материально-технической базы МУ "ЦКД"</t>
  </si>
  <si>
    <t>Иные межбюджетные трансферты на компенсацию расходов граждан на организацию водоснабжения жилья (в соответствии с распоряжением Администрации ТО от 17.10.2011 № 1019-ра)</t>
  </si>
  <si>
    <t>Иные межбюджетные трансферты на возмещение теплоснабжающим организациям затрат, обусловленных незапланированным в тарифе на тепловую энергию ростом цен на уголь в муниципальных образованиях, расположенных в местностях, приравненных к районам Крайнего Севера</t>
  </si>
  <si>
    <t>Иные межбюджетные трансферты на приобретение в муниципальную собственность газораспределительных сетей г.Колпашево и с.Тогур Колпашевского района ТО 5 очередь</t>
  </si>
  <si>
    <t>22.09.2011- 31.12.2011</t>
  </si>
  <si>
    <t>Постановление Администрации Колпашевского района от 22.09.2011 № 993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черезвычайных ситуаций бюджету муниципального образования "Колпашевский район", для проведения аварийно- восстановительных работ на автомобильной дороге "Тогур-Север-Дальнее-Куржино-Копыловка" (в редакции от 05.10.2011 № 1049)</t>
  </si>
  <si>
    <t>Расходы на реализацию программы энергосбережения и повышения энергетической эффективности на период до 2020г. (из областного бюджета)</t>
  </si>
  <si>
    <t>Решение Думы Колпашевского района от 16.12.2011 № 184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</si>
  <si>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16.12.2011- 31.12.2011</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</si>
  <si>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"Колпашевский район" на 2008-2012 годы" (в редакции от 26.10.2008 № 532, от 08.09.2008 № 543, от  26.12.2008 № 587, от 28.10.2009 № 724, от 25.12.2009 № 761, от 28.01.2010 № 792, от 29.09.2010 № 925, от 18.03.2011 № 30, 25.04.2011 № 43, от 29.08.2011 № 95, от 17.10.2011 № 130, от 16.12.2011 № 165)</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</si>
  <si>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t>
  </si>
  <si>
    <t>Решение Думы Колпашевского района от 20.06.2011 № 63 "О порядке использования средств субсидии из областного бюджета на реализацию программы "Профилактика детского дорожно-транспортного травматизма на территории Томской области в 2010-2011 годах" (в редакции от 16.12.2011 № 175)</t>
  </si>
  <si>
    <t>Постановление Администрации Колпашевского района от 01.02.2010 № 149 "Об утверждении долгосрочной целевой программы "Профилактика правонарушений на территории МО "Колпашевский район" на 2010-2012 годы" ( в редакции от 07.04.2010 № 537, от 07.12.2010 № 1498, от 21.12.2010 № 1557, от 26.04.2011№ 384, от 07.12.2011 № 1298)</t>
  </si>
  <si>
    <t>Иные межбюджетные трансферты на компенсацию убытков организаций, эксплуатирующих коммунальные объекты, принятые в муниципальную собственность в связи с расформированием войсковой части в г. Колпашево, а также на компенсацию расходов по организации теплоснабжения муниципальными энергоснабжающими организациями</t>
  </si>
  <si>
    <t>Иные межбюджетные трансферты на организацию уличного освещения</t>
  </si>
  <si>
    <t>Иные межбюджетные трансферты на ремонт автомобиля</t>
  </si>
  <si>
    <t>Иные межбюджетные трансферты на разработку, экспертизу проектно-сметной документации, приобретение, установку водогрейных котлов, сборку блочно-модульной котельной "Звезда" г.Колпашево и подключение её к инженерным сетям с целью предупреждения черезвычайной ситуации</t>
  </si>
  <si>
    <t>Субсидия бюджетам поселений на реализацию программы энергосбережения и повышения энергетической эффективности на период до 2020 года</t>
  </si>
  <si>
    <t>Иные межбюджетные трансферты для проведения аварийно-восстановительных работ на котельной "Лазо" по адресу: г.Колпашево, ул.Крылова, 9/2 (в соответствии с распоряжением АТО от 16.11.2011 № 1164-ра)</t>
  </si>
  <si>
    <t>Иные межбюджетные трансферты на выполнение инженерно-геологического обоснования для проектирования газовых котельных</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</si>
  <si>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</si>
  <si>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Решение Думы Колпашевского района от 25.11.2005 № 17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 работающих в учреждениях и организациях, финансируемых из бюджета Колпашевского района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района для лиц, работающих в учреждениях и организациях. финансируемых из бюджета Колпашевского района" (в редакции от 31.08.06 № 193; от 29.06.07 № 334, от 26.12.2007 № 402, от 28.08.2008 № 529, от 21.09.2009 № 706, от 13.07.2010 № 874, от 23.08.2010 № 908, от 23.08.2010 № 913, от 29.09.2010 № 931, от 16.12.2011 № 163)</t>
  </si>
  <si>
    <t>Постановление Администрации Колпашевского района от 23.05.2011 № 481 "Об утверждении порядка восстановления расходов по фактической оплате за потреблённую электроэнергию муниципальными бюджетными (казенными) учреждениями, объектами благоустройства и органами местного самоуправления"</t>
  </si>
  <si>
    <t>п.3</t>
  </si>
  <si>
    <t>23.05.2011, не установлен</t>
  </si>
  <si>
    <t>Решение Думы Колпашевского района от 18.03.2011 № 25 "Об установлении льготы на пассажирские перевозки речным транспортом на период навигации 2011 года" (в редакции от 06.07.2011 № 80)</t>
  </si>
  <si>
    <t>Постановление Администрации Колпашевского района от 20.04.2011 № 362 "Об утверждении порядка и условий предоставления льготных услуг по перевозкам речным транспортом населения по маршрутам "Тогур-Копыловка", "Тогур-Лебяжье" (в редакции от 27.06.2011 № 628)</t>
  </si>
  <si>
    <t xml:space="preserve">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</si>
  <si>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</si>
  <si>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Решение Думы Колпашевского района от 28.01.2008 № 422 "О частичной оплате стоимости питания обучающихся  в муниципальных общеобразовательных учреждениях муниципального образования "Колпашевский район" из малоимущих семей (в редакции от 28.04.2008 № 462; от 27.10.2008 № 548, от 16.01.2009 № 601, от 21.09.2009 № 704, от 25.12.2009 № 756, от 24.12.2010 № 34)</t>
  </si>
  <si>
    <t>Решение Думы Колпашевского района от 30.07.2007 № 344 "О порядке финансирования муниципальных общеобразовательных учреждений ( в редакции от 26.12.2007 № 407; от 28.02.2008 № 437; от 23.07.2007 № 509, от 02.07.2009 № 676, от 26.02.2010 № 800, от 13.07.2010 № 876, от 24.12.2010 № 33, ОТ 25.04.2011 № 38)</t>
  </si>
  <si>
    <t xml:space="preserve">01.01.2008, не установлен </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</si>
  <si>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t>
  </si>
  <si>
    <t>26.12.2008- 25.11.2011</t>
  </si>
  <si>
    <t>01.01.2010- 23.05.2011</t>
  </si>
  <si>
    <t>Решение Думы Колпашевского района от 10.12.05 № 34 "Об утверждении Положения о порядке предоставления и финансирования дошкольного образования на территории Колпашевского района" (в редакции от 29.03.06 № 120, от 29.06.06 № 170, от 13.10.06 № 209, от 28.08.2009 № 697, от 29.09.2010 № 918, от 18.03.2011 № 22, от 29.08.2011 № 93, от 25.11.2011 № 139); Постановление Главы Колпашевского района от 13.01.06 № 6 "О создании и финансировании подготовительных классов в общеобразовательных учреждениях района"</t>
  </si>
  <si>
    <t>Решение Думы Колпашевского района от 10.12.2005 № 27 "Об утверждении Положения об организации оказания и финансового обеспечения на территории Колпашевского района первичной медико - санитарной помощи, в том числе женщинам в период беременности, во время и после родов, в том числе на фельдшерско-акушерских пунктах и скорой медицинской помощи (за исключением санитарно-авиационной) (в редакции от 22.12.2006 № 264, от 29.08.2011 № 100)</t>
  </si>
  <si>
    <t>Решение Думы Колпашевского района от 28.02.2008 № 441 "О порядке финансирования муниципального учреждения здравоохранения  "Колпашевская ЦРБ" (в редакции от 29.08.2011 № 100)</t>
  </si>
  <si>
    <t>Постановление Администрации Колпашевского района от 26.12.2011 № 1380 "О порядке расходования средств субсидии из областного бюджета Томской области на установку приборов учета потребления теплоэнергитических ресурсов в муниципальных учреждениях томской области"</t>
  </si>
  <si>
    <t>01.09.2010- 31.12.2020</t>
  </si>
  <si>
    <t>Решение Думы Колпашевского района от 29.11.2010 № 21 "О бюджете муниципального образования "Колпашевский район" на 2011 год" (в редакции от 24.12.2010 № 30, от 14.02.2011 № 1, от 25.04.2011 № 34, от 20.06.2011 № 57, от 06.07.2011 № 76, от 29.08.2011 № 84, от 30.09.2011 № 109, от 17.10.2011 № 124, от 25.11.2011 № 134, от 16.12.2011 № 162)</t>
  </si>
  <si>
    <t>Решение Думы Колпашевского района от 18.03.2011 № 29 "О порядке использования в 2011 году средств бюджета мниципального образования "Колпашевский район" на проведение мероприятий в рамках реализации комплексной программы социально-экономического развития муниципального образования "Колпашевский район" на 2008-2012 годы в разделе "Сельское хозяйство" (в редакции от 23.05.2011 № 50)</t>
  </si>
  <si>
    <t>Решение Думы Колпашевского района от 15.05.2008 № 476 "Об утверждении районной целевой программы "Поддержка и развитие малого и среднего предпринимательства в муниципальном образовании " Колпашевский район" на 2008-2012 годы (в редакции от 28.08.2008 № 532, от 08.09.2008 № 543, от 26.12.2008 № 587, от 28.10.2009 № 724, от 25.12.2009 № 761, от 28.01.2010 № 792, от 29.09.2010 № 925, от 18.03.11 № 30, от 25.04.2011 № 43, от 29.08.2011 № 95, от 17.10.2011 № 130)</t>
  </si>
  <si>
    <t>Иные межбюджетные трансферты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t>
  </si>
  <si>
    <t>Субсидии местным бюджетам на софинансирование объектов капитального строительства собственности муниципальных образований в рамках ДЦП "Развитие автомобильных дорог общего пользования регионального или межмуниципального значения Томской области на 2011 - 2015 годы"</t>
  </si>
  <si>
    <t>Субсидии местным бюджетам на софинансирование объектов капитального строительства государственной собственности субъектов РФ (объектов капитального строительства собственности муниципальных образований) в рамках ДЦП "Социальное развитие села Томской области до 2014 года"</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</si>
  <si>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</si>
  <si>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</si>
  <si>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t>
  </si>
  <si>
    <t xml:space="preserve">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</si>
  <si>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с/х производства"</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</si>
  <si>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</si>
  <si>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</si>
  <si>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</si>
  <si>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 xml:space="preserve">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t>
  </si>
  <si>
    <t xml:space="preserve">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№863 "Об установлении расходных обязательств по осуществлению отдельных государственных полномочий" </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</si>
  <si>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25.06.2010 № 824 "Об установлении расходных обязательств по осуществлению отдельных государственных полномочий по проведению аттестации педагогических работников МОУ на первую и вторую квалификационную категорию"</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</si>
  <si>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864 "Об установлении расходного обязательства МО "Колпашевский район" по осуществлению отдельных государственных полномочий по осуществлению денежных выплат медицинскому персоналу ФАП,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</si>
  <si>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</si>
  <si>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</si>
  <si>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28.06.2010 № 828 "Об установлении расходных обязательств по осуществлению отдельных государственных полномочий по воспитанию и обучению детей-инвалидов в МДОУ"</t>
  </si>
  <si>
    <t>Решение Думы Колпашевского района от 24.03.2008 № 446 "Об утверждении положения о бюджетном процессе в муниципальном образовании "Колпашевский район" (в редакции от 18.06.2009 № 666, от 28.01.2010 № 781, от 17.06.2010 № 848, от 30.09.2011 № 110); Постановление Администрации Колпашевского района от 27.08.2010 № 1088 "Об установлении расходного обязательства МО "Колпашевский район" по осуществлению отдельных государственных полномочий по подготовке и проведению Всероссийской переписи населения"</t>
  </si>
  <si>
    <t>Постановление Администрации Колпашевского района от 18.12.2010 № 1540 "О Порядке определения объема и предоставления субсидий некоммерческим организациям, не являющимися бюджетными учреждениями, в 2011 году"</t>
  </si>
  <si>
    <t>2014 год</t>
  </si>
  <si>
    <t>Реестр расходных обязательств муниципального образования "Колпашевский район" на 2011 г. и плановый период 2012-2014 года (уточненный).</t>
  </si>
  <si>
    <t>гр.19</t>
  </si>
  <si>
    <t>финансовый год +3
(2014 год)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</si>
</sst>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60">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sz val="9"/>
      <name val="Arial Cyr"/>
      <family val="0"/>
    </font>
    <font>
      <sz val="9"/>
      <color indexed="8"/>
      <name val="Times New Roman CYR"/>
      <family val="1"/>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color indexed="8"/>
      </bottom>
    </border>
    <border>
      <left style="thin">
        <color indexed="8"/>
      </left>
      <right style="thin">
        <color indexed="8"/>
      </right>
      <top>
        <color indexed="63"/>
      </top>
      <bottom>
        <color indexed="63"/>
      </bottom>
    </border>
    <border>
      <left style="thin">
        <color indexed="8"/>
      </left>
      <right style="thin"/>
      <top style="thin"/>
      <bottom>
        <color indexed="63"/>
      </bottom>
    </border>
    <border>
      <left style="thin">
        <color indexed="8"/>
      </left>
      <right style="thin"/>
      <top>
        <color indexed="63"/>
      </top>
      <bottom style="thin"/>
    </border>
    <border>
      <left style="thin">
        <color indexed="8"/>
      </left>
      <right style="thin">
        <color indexed="8"/>
      </right>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218">
    <xf numFmtId="0" fontId="0" fillId="0" borderId="0" xfId="0" applyAlignment="1">
      <alignment/>
    </xf>
    <xf numFmtId="0" fontId="1" fillId="0" borderId="0" xfId="53" applyFill="1">
      <alignment/>
      <protection/>
    </xf>
    <xf numFmtId="0" fontId="4" fillId="0" borderId="0" xfId="53" applyFont="1" applyFill="1">
      <alignment/>
      <protection/>
    </xf>
    <xf numFmtId="0" fontId="5" fillId="0" borderId="0" xfId="53" applyFont="1" applyFill="1">
      <alignment/>
      <protection/>
    </xf>
    <xf numFmtId="0" fontId="4" fillId="0" borderId="0" xfId="53" applyFont="1" applyFill="1" applyAlignment="1">
      <alignment/>
      <protection/>
    </xf>
    <xf numFmtId="0" fontId="5" fillId="0" borderId="0" xfId="53" applyFont="1" applyFill="1" applyAlignment="1">
      <alignment/>
      <protection/>
    </xf>
    <xf numFmtId="0" fontId="6" fillId="0" borderId="0" xfId="53" applyFont="1" applyFill="1">
      <alignment/>
      <protection/>
    </xf>
    <xf numFmtId="0" fontId="5" fillId="0" borderId="10" xfId="0" applyNumberFormat="1" applyFont="1" applyFill="1" applyBorder="1" applyAlignment="1" applyProtection="1">
      <alignment horizontal="center" vertical="center" wrapText="1" shrinkToFit="1"/>
      <protection locked="0"/>
    </xf>
    <xf numFmtId="0" fontId="4" fillId="0" borderId="0" xfId="0" applyNumberFormat="1" applyFont="1" applyFill="1" applyBorder="1" applyAlignment="1" applyProtection="1">
      <alignment vertical="top"/>
      <protection/>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wrapText="1"/>
      <protection/>
    </xf>
    <xf numFmtId="0" fontId="5"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top" wrapText="1"/>
      <protection/>
    </xf>
    <xf numFmtId="0" fontId="8"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vertical="top"/>
      <protection/>
    </xf>
    <xf numFmtId="0" fontId="4" fillId="0" borderId="11" xfId="0" applyNumberFormat="1" applyFont="1" applyFill="1" applyBorder="1" applyAlignment="1" applyProtection="1">
      <alignment horizontal="left" vertical="top"/>
      <protection/>
    </xf>
    <xf numFmtId="0" fontId="4" fillId="0" borderId="11"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center" vertical="center" wrapText="1" shrinkToFit="1"/>
      <protection locked="0"/>
    </xf>
    <xf numFmtId="14" fontId="8" fillId="0" borderId="10" xfId="0" applyNumberFormat="1" applyFont="1" applyFill="1" applyBorder="1" applyAlignment="1" applyProtection="1">
      <alignment horizontal="center" vertical="center" wrapText="1" shrinkToFit="1"/>
      <protection locked="0"/>
    </xf>
    <xf numFmtId="0" fontId="8" fillId="0" borderId="10"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center" vertical="center" wrapText="1" shrinkToFit="1"/>
      <protection locked="0"/>
    </xf>
    <xf numFmtId="0" fontId="8" fillId="0" borderId="10" xfId="0" applyNumberFormat="1" applyFont="1" applyFill="1" applyBorder="1" applyAlignment="1" applyProtection="1">
      <alignment wrapText="1"/>
      <protection/>
    </xf>
    <xf numFmtId="0" fontId="5" fillId="0" borderId="10" xfId="0" applyNumberFormat="1" applyFont="1" applyFill="1" applyBorder="1" applyAlignment="1" applyProtection="1">
      <alignment horizontal="left" vertical="top"/>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shrinkToFit="1"/>
      <protection locked="0"/>
    </xf>
    <xf numFmtId="0" fontId="5"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shrinkToFit="1"/>
      <protection locked="0"/>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14" fontId="5" fillId="0" borderId="12" xfId="0" applyNumberFormat="1" applyFont="1" applyFill="1" applyBorder="1" applyAlignment="1" applyProtection="1">
      <alignment horizontal="center" vertical="center" wrapText="1" shrinkToFit="1"/>
      <protection locked="0"/>
    </xf>
    <xf numFmtId="0" fontId="13" fillId="0" borderId="12" xfId="0" applyNumberFormat="1" applyFont="1" applyFill="1" applyBorder="1" applyAlignment="1" applyProtection="1">
      <alignment horizontal="center" vertical="center" wrapText="1" shrinkToFit="1"/>
      <protection locked="0"/>
    </xf>
    <xf numFmtId="0" fontId="13" fillId="0" borderId="13"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shrinkToFit="1"/>
      <protection locked="0"/>
    </xf>
    <xf numFmtId="0" fontId="13" fillId="0" borderId="13" xfId="0" applyNumberFormat="1" applyFont="1" applyFill="1" applyBorder="1" applyAlignment="1" applyProtection="1">
      <alignment horizontal="left" vertical="center" wrapText="1"/>
      <protection/>
    </xf>
    <xf numFmtId="0" fontId="13" fillId="0" borderId="10"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center" vertical="center" wrapText="1" shrinkToFit="1"/>
      <protection locked="0"/>
    </xf>
    <xf numFmtId="14" fontId="5" fillId="0" borderId="15"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shrinkToFit="1"/>
      <protection locked="0"/>
    </xf>
    <xf numFmtId="0" fontId="13" fillId="0" borderId="16" xfId="0" applyNumberFormat="1" applyFont="1" applyFill="1" applyBorder="1" applyAlignment="1" applyProtection="1">
      <alignment horizontal="center" vertical="center" wrapText="1" shrinkToFit="1"/>
      <protection locked="0"/>
    </xf>
    <xf numFmtId="0" fontId="13" fillId="0" borderId="12"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shrinkToFit="1"/>
      <protection locked="0"/>
    </xf>
    <xf numFmtId="0" fontId="13" fillId="0" borderId="15" xfId="0" applyNumberFormat="1" applyFont="1" applyFill="1" applyBorder="1" applyAlignment="1" applyProtection="1">
      <alignment horizontal="center" vertical="center" wrapText="1" shrinkToFit="1"/>
      <protection locked="0"/>
    </xf>
    <xf numFmtId="0" fontId="13" fillId="0" borderId="17" xfId="0" applyNumberFormat="1" applyFont="1" applyFill="1" applyBorder="1" applyAlignment="1" applyProtection="1">
      <alignment horizontal="center" vertical="center" wrapText="1" shrinkToFit="1"/>
      <protection locked="0"/>
    </xf>
    <xf numFmtId="0" fontId="14"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vertical="center" wrapText="1"/>
      <protection/>
    </xf>
    <xf numFmtId="0" fontId="15" fillId="0" borderId="13"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wrapText="1"/>
      <protection/>
    </xf>
    <xf numFmtId="0" fontId="15" fillId="0" borderId="10" xfId="0" applyNumberFormat="1" applyFont="1" applyFill="1" applyBorder="1" applyAlignment="1" applyProtection="1">
      <alignment horizontal="right" vertical="center" wrapText="1" shrinkToFit="1"/>
      <protection locked="0"/>
    </xf>
    <xf numFmtId="49" fontId="15" fillId="0" borderId="10" xfId="0" applyNumberFormat="1" applyFont="1" applyFill="1" applyBorder="1" applyAlignment="1" applyProtection="1">
      <alignment horizontal="right" vertical="center" wrapText="1" shrinkToFit="1"/>
      <protection locked="0"/>
    </xf>
    <xf numFmtId="49" fontId="15" fillId="0" borderId="10" xfId="0" applyNumberFormat="1" applyFont="1" applyFill="1" applyBorder="1" applyAlignment="1" applyProtection="1">
      <alignment horizontal="center" vertical="center" wrapText="1" shrinkToFit="1"/>
      <protection locked="0"/>
    </xf>
    <xf numFmtId="49" fontId="15" fillId="0" borderId="12" xfId="0" applyNumberFormat="1" applyFont="1" applyFill="1" applyBorder="1" applyAlignment="1" applyProtection="1">
      <alignment horizontal="center" vertical="center" wrapText="1" shrinkToFit="1"/>
      <protection locked="0"/>
    </xf>
    <xf numFmtId="49" fontId="15" fillId="0" borderId="14" xfId="0" applyNumberFormat="1" applyFont="1" applyFill="1" applyBorder="1" applyAlignment="1" applyProtection="1">
      <alignment horizontal="center" vertical="center" wrapText="1" shrinkToFit="1"/>
      <protection locked="0"/>
    </xf>
    <xf numFmtId="49" fontId="14" fillId="0" borderId="10" xfId="0" applyNumberFormat="1" applyFont="1" applyFill="1" applyBorder="1" applyAlignment="1" applyProtection="1">
      <alignment horizontal="center" vertical="center" wrapText="1" shrinkToFit="1"/>
      <protection locked="0"/>
    </xf>
    <xf numFmtId="49" fontId="15" fillId="0" borderId="13" xfId="0" applyNumberFormat="1" applyFont="1" applyFill="1" applyBorder="1" applyAlignment="1" applyProtection="1">
      <alignment horizontal="center" vertical="center" wrapText="1" shrinkToFit="1"/>
      <protection locked="0"/>
    </xf>
    <xf numFmtId="49" fontId="15" fillId="0" borderId="10" xfId="0" applyNumberFormat="1" applyFont="1" applyFill="1" applyBorder="1" applyAlignment="1" applyProtection="1">
      <alignment horizontal="center" vertical="center" wrapText="1" shrinkToFit="1"/>
      <protection locked="0"/>
    </xf>
    <xf numFmtId="0" fontId="15" fillId="0" borderId="10" xfId="0" applyNumberFormat="1" applyFont="1" applyFill="1" applyBorder="1" applyAlignment="1" applyProtection="1">
      <alignment horizontal="center" vertical="center" wrapText="1" shrinkToFit="1"/>
      <protection locked="0"/>
    </xf>
    <xf numFmtId="164" fontId="12"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wrapText="1" shrinkToFit="1"/>
      <protection locked="0"/>
    </xf>
    <xf numFmtId="164" fontId="7" fillId="0" borderId="14" xfId="0" applyNumberFormat="1" applyFont="1" applyFill="1" applyBorder="1" applyAlignment="1" applyProtection="1">
      <alignment horizontal="right" vertical="center" wrapText="1" shrinkToFit="1"/>
      <protection locked="0"/>
    </xf>
    <xf numFmtId="164" fontId="57" fillId="0" borderId="10"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58" fillId="0" borderId="10" xfId="0" applyNumberFormat="1" applyFont="1" applyFill="1" applyBorder="1" applyAlignment="1" applyProtection="1">
      <alignment horizontal="right" vertical="center" wrapText="1" shrinkToFit="1"/>
      <protection locked="0"/>
    </xf>
    <xf numFmtId="164" fontId="57" fillId="0" borderId="12"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7" fillId="0" borderId="13"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protection/>
    </xf>
    <xf numFmtId="164" fontId="57" fillId="0" borderId="14" xfId="0" applyNumberFormat="1" applyFont="1" applyFill="1" applyBorder="1" applyAlignment="1" applyProtection="1">
      <alignment horizontal="right" vertical="center" wrapText="1" shrinkToFit="1"/>
      <protection locked="0"/>
    </xf>
    <xf numFmtId="164" fontId="59" fillId="0" borderId="10" xfId="0" applyNumberFormat="1" applyFont="1" applyFill="1" applyBorder="1" applyAlignment="1" applyProtection="1">
      <alignment horizontal="right" vertical="center" wrapText="1" shrinkToFit="1"/>
      <protection locked="0"/>
    </xf>
    <xf numFmtId="164" fontId="7" fillId="0" borderId="10" xfId="53" applyNumberFormat="1" applyFont="1" applyFill="1" applyBorder="1" applyAlignment="1">
      <alignment horizontal="right" vertical="center"/>
      <protection/>
    </xf>
    <xf numFmtId="164" fontId="7" fillId="0" borderId="10" xfId="0" applyNumberFormat="1" applyFont="1" applyFill="1" applyBorder="1" applyAlignment="1" applyProtection="1">
      <alignment horizontal="right" vertical="center"/>
      <protection/>
    </xf>
    <xf numFmtId="164" fontId="7" fillId="0" borderId="18"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4" xfId="0" applyNumberFormat="1" applyFont="1" applyFill="1" applyBorder="1" applyAlignment="1" applyProtection="1">
      <alignment horizontal="right" vertical="center"/>
      <protection/>
    </xf>
    <xf numFmtId="14" fontId="13" fillId="0" borderId="10" xfId="0" applyNumberFormat="1" applyFont="1" applyFill="1" applyBorder="1" applyAlignment="1" applyProtection="1">
      <alignment horizontal="center" vertical="center" wrapText="1" shrinkToFit="1"/>
      <protection locked="0"/>
    </xf>
    <xf numFmtId="164" fontId="17" fillId="0" borderId="10" xfId="0" applyNumberFormat="1" applyFont="1" applyFill="1" applyBorder="1" applyAlignment="1" applyProtection="1">
      <alignment horizontal="right" vertical="center" wrapText="1" shrinkToFit="1"/>
      <protection locked="0"/>
    </xf>
    <xf numFmtId="0" fontId="13" fillId="0" borderId="10" xfId="0" applyNumberFormat="1"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horizontal="center" vertical="center" wrapText="1" shrinkToFit="1"/>
      <protection locked="0"/>
    </xf>
    <xf numFmtId="164" fontId="58" fillId="0" borderId="14" xfId="0" applyNumberFormat="1" applyFont="1" applyFill="1" applyBorder="1" applyAlignment="1" applyProtection="1">
      <alignment horizontal="right" vertical="center" wrapText="1" shrinkToFit="1"/>
      <protection locked="0"/>
    </xf>
    <xf numFmtId="0" fontId="13" fillId="0" borderId="12" xfId="0" applyNumberFormat="1" applyFont="1" applyFill="1" applyBorder="1" applyAlignment="1" applyProtection="1">
      <alignment vertical="center" wrapText="1" shrinkToFit="1"/>
      <protection locked="0"/>
    </xf>
    <xf numFmtId="164" fontId="7" fillId="0" borderId="19" xfId="0" applyNumberFormat="1" applyFont="1" applyFill="1" applyBorder="1" applyAlignment="1" applyProtection="1">
      <alignment horizontal="right" vertical="center" wrapText="1" shrinkToFit="1"/>
      <protection locked="0"/>
    </xf>
    <xf numFmtId="164" fontId="7" fillId="0" borderId="20" xfId="0" applyNumberFormat="1" applyFont="1" applyFill="1" applyBorder="1" applyAlignment="1" applyProtection="1">
      <alignment horizontal="right" vertical="center" wrapText="1" shrinkToFit="1"/>
      <protection locked="0"/>
    </xf>
    <xf numFmtId="0" fontId="13" fillId="0" borderId="16"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vertical="center" wrapText="1" shrinkToFit="1"/>
      <protection locked="0"/>
    </xf>
    <xf numFmtId="14" fontId="13" fillId="0" borderId="12"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vertical="center" wrapText="1"/>
      <protection/>
    </xf>
    <xf numFmtId="14" fontId="13" fillId="0" borderId="13" xfId="0" applyNumberFormat="1" applyFont="1" applyFill="1" applyBorder="1" applyAlignment="1" applyProtection="1">
      <alignment horizontal="center" vertical="center" wrapText="1" shrinkToFit="1"/>
      <protection locked="0"/>
    </xf>
    <xf numFmtId="49" fontId="16"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5" fillId="0" borderId="14" xfId="0" applyNumberFormat="1" applyFont="1" applyFill="1" applyBorder="1" applyAlignment="1" applyProtection="1">
      <alignment horizontal="center" vertical="center" wrapText="1"/>
      <protection/>
    </xf>
    <xf numFmtId="164" fontId="58"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164" fontId="59" fillId="0" borderId="10" xfId="0" applyNumberFormat="1" applyFont="1" applyFill="1" applyBorder="1" applyAlignment="1" applyProtection="1">
      <alignment horizontal="right" vertical="center"/>
      <protection/>
    </xf>
    <xf numFmtId="164" fontId="58" fillId="0" borderId="10" xfId="0" applyNumberFormat="1" applyFont="1" applyFill="1" applyBorder="1" applyAlignment="1" applyProtection="1">
      <alignment horizontal="right" vertical="top"/>
      <protection/>
    </xf>
    <xf numFmtId="164" fontId="58" fillId="0" borderId="10" xfId="53" applyNumberFormat="1" applyFont="1" applyFill="1" applyBorder="1" applyAlignment="1">
      <alignment horizontal="right"/>
      <protection/>
    </xf>
    <xf numFmtId="164" fontId="58" fillId="0" borderId="10" xfId="53" applyNumberFormat="1" applyFont="1" applyFill="1" applyBorder="1" applyAlignment="1">
      <alignment horizontal="right" vertical="center"/>
      <protection/>
    </xf>
    <xf numFmtId="0" fontId="13" fillId="0" borderId="12" xfId="0" applyNumberFormat="1" applyFont="1" applyFill="1" applyBorder="1" applyAlignment="1" applyProtection="1">
      <alignment horizontal="left" vertical="center" wrapText="1"/>
      <protection/>
    </xf>
    <xf numFmtId="0" fontId="13" fillId="0" borderId="21" xfId="0" applyNumberFormat="1" applyFont="1" applyFill="1" applyBorder="1" applyAlignment="1" applyProtection="1">
      <alignment horizontal="center" vertical="center" wrapText="1" shrinkToFit="1"/>
      <protection locked="0"/>
    </xf>
    <xf numFmtId="0" fontId="13" fillId="0" borderId="19" xfId="0" applyNumberFormat="1" applyFont="1" applyFill="1" applyBorder="1" applyAlignment="1" applyProtection="1">
      <alignment horizontal="center" vertical="center" wrapText="1" shrinkToFit="1"/>
      <protection locked="0"/>
    </xf>
    <xf numFmtId="0" fontId="13" fillId="0" borderId="18" xfId="0" applyNumberFormat="1" applyFont="1" applyFill="1" applyBorder="1" applyAlignment="1" applyProtection="1">
      <alignment horizontal="center" vertical="center" wrapText="1" shrinkToFit="1"/>
      <protection locked="0"/>
    </xf>
    <xf numFmtId="0" fontId="13" fillId="0" borderId="22" xfId="0" applyNumberFormat="1" applyFont="1" applyFill="1" applyBorder="1" applyAlignment="1" applyProtection="1">
      <alignment horizontal="center" vertical="center" wrapText="1" shrinkToFit="1"/>
      <protection locked="0"/>
    </xf>
    <xf numFmtId="0" fontId="13" fillId="0" borderId="23" xfId="0" applyNumberFormat="1" applyFont="1" applyFill="1" applyBorder="1" applyAlignment="1" applyProtection="1">
      <alignment horizontal="center" vertical="center" wrapText="1" shrinkToFit="1"/>
      <protection locked="0"/>
    </xf>
    <xf numFmtId="0" fontId="18" fillId="0" borderId="10" xfId="0" applyNumberFormat="1" applyFont="1" applyFill="1" applyBorder="1" applyAlignment="1" applyProtection="1">
      <alignment horizontal="left" vertical="top" wrapText="1"/>
      <protection/>
    </xf>
    <xf numFmtId="0" fontId="18" fillId="0" borderId="0" xfId="53" applyFont="1" applyFill="1">
      <alignment/>
      <protection/>
    </xf>
    <xf numFmtId="0" fontId="4" fillId="0" borderId="0" xfId="53" applyFont="1" applyFill="1" applyBorder="1">
      <alignment/>
      <protection/>
    </xf>
    <xf numFmtId="0" fontId="18" fillId="0" borderId="0" xfId="53" applyFont="1" applyFill="1" applyBorder="1">
      <alignment/>
      <protection/>
    </xf>
    <xf numFmtId="0" fontId="4"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4" fontId="5" fillId="0" borderId="14"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right" vertical="center"/>
      <protection/>
    </xf>
    <xf numFmtId="0" fontId="0" fillId="0" borderId="0" xfId="0" applyFont="1" applyFill="1" applyAlignment="1">
      <alignment/>
    </xf>
    <xf numFmtId="4" fontId="0" fillId="0" borderId="0" xfId="0" applyNumberFormat="1" applyFont="1" applyFill="1" applyAlignment="1">
      <alignment/>
    </xf>
    <xf numFmtId="164" fontId="7" fillId="0" borderId="10" xfId="0" applyNumberFormat="1" applyFont="1" applyFill="1" applyBorder="1" applyAlignment="1" applyProtection="1">
      <alignment vertical="center"/>
      <protection/>
    </xf>
    <xf numFmtId="164" fontId="17" fillId="0" borderId="1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5" fillId="0" borderId="24" xfId="0" applyNumberFormat="1" applyFont="1" applyFill="1" applyBorder="1" applyAlignment="1" applyProtection="1">
      <alignment horizontal="center" vertical="center" wrapText="1" shrinkToFit="1"/>
      <protection locked="0"/>
    </xf>
    <xf numFmtId="0" fontId="5" fillId="0" borderId="25" xfId="0" applyNumberFormat="1" applyFont="1" applyFill="1" applyBorder="1" applyAlignment="1" applyProtection="1">
      <alignment horizontal="center" vertical="center" wrapText="1" shrinkToFit="1"/>
      <protection locked="0"/>
    </xf>
    <xf numFmtId="0" fontId="5" fillId="0" borderId="26"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4"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4"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14" fontId="5" fillId="0" borderId="14"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49" fontId="15" fillId="0" borderId="12" xfId="0" applyNumberFormat="1" applyFont="1" applyFill="1" applyBorder="1" applyAlignment="1" applyProtection="1">
      <alignment horizontal="center" vertical="center" wrapText="1" shrinkToFit="1"/>
      <protection locked="0"/>
    </xf>
    <xf numFmtId="49" fontId="15" fillId="0" borderId="14" xfId="0" applyNumberFormat="1" applyFont="1" applyFill="1" applyBorder="1" applyAlignment="1" applyProtection="1">
      <alignment horizontal="center" vertical="center" wrapText="1" shrinkToFit="1"/>
      <protection locked="0"/>
    </xf>
    <xf numFmtId="49" fontId="15" fillId="0" borderId="13"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protection/>
    </xf>
    <xf numFmtId="0" fontId="15" fillId="0" borderId="26"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left" vertical="center" wrapText="1"/>
      <protection/>
    </xf>
    <xf numFmtId="0" fontId="13" fillId="0" borderId="18"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13" fillId="0" borderId="12" xfId="0" applyNumberFormat="1" applyFont="1" applyFill="1" applyBorder="1" applyAlignment="1" applyProtection="1">
      <alignment horizontal="center" vertical="center" wrapText="1" shrinkToFit="1"/>
      <protection locked="0"/>
    </xf>
    <xf numFmtId="0" fontId="13" fillId="0" borderId="13"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13" fillId="0" borderId="27" xfId="0" applyNumberFormat="1" applyFont="1" applyFill="1" applyBorder="1" applyAlignment="1" applyProtection="1">
      <alignment horizontal="center" vertical="center" wrapText="1" shrinkToFit="1"/>
      <protection locked="0"/>
    </xf>
    <xf numFmtId="0" fontId="13" fillId="0" borderId="28"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shrinkToFit="1"/>
      <protection locked="0"/>
    </xf>
    <xf numFmtId="0" fontId="13" fillId="0" borderId="12"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49" fontId="16" fillId="0" borderId="12" xfId="0" applyNumberFormat="1" applyFont="1" applyFill="1" applyBorder="1" applyAlignment="1" applyProtection="1">
      <alignment horizontal="center" vertical="center" wrapText="1" shrinkToFit="1"/>
      <protection locked="0"/>
    </xf>
    <xf numFmtId="49" fontId="16" fillId="0" borderId="13" xfId="0" applyNumberFormat="1" applyFont="1" applyFill="1" applyBorder="1" applyAlignment="1" applyProtection="1">
      <alignment horizontal="center" vertical="center" wrapText="1" shrinkToFit="1"/>
      <protection locked="0"/>
    </xf>
    <xf numFmtId="49" fontId="15" fillId="0" borderId="10" xfId="0" applyNumberFormat="1" applyFont="1" applyFill="1" applyBorder="1" applyAlignment="1" applyProtection="1">
      <alignment horizontal="center" vertical="center" wrapText="1" shrinkToFit="1"/>
      <protection locked="0"/>
    </xf>
    <xf numFmtId="164" fontId="7" fillId="0" borderId="14" xfId="0" applyNumberFormat="1" applyFont="1" applyFill="1" applyBorder="1" applyAlignment="1" applyProtection="1">
      <alignment horizontal="right" vertical="center"/>
      <protection/>
    </xf>
    <xf numFmtId="14" fontId="5"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top"/>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64" fontId="7" fillId="0" borderId="10" xfId="0" applyNumberFormat="1" applyFont="1" applyFill="1" applyBorder="1" applyAlignment="1" applyProtection="1">
      <alignment horizontal="right" vertical="center" wrapText="1" shrinkToFit="1"/>
      <protection locked="0"/>
    </xf>
    <xf numFmtId="0" fontId="9" fillId="0" borderId="0" xfId="0" applyNumberFormat="1" applyFont="1" applyFill="1" applyBorder="1" applyAlignment="1" applyProtection="1">
      <alignment horizontal="center" vertical="top" wrapText="1"/>
      <protection/>
    </xf>
    <xf numFmtId="164" fontId="7" fillId="0" borderId="10" xfId="0" applyNumberFormat="1" applyFont="1" applyFill="1" applyBorder="1" applyAlignment="1" applyProtection="1">
      <alignment horizontal="right" vertical="center"/>
      <protection/>
    </xf>
    <xf numFmtId="0" fontId="15" fillId="0" borderId="14" xfId="0" applyFont="1" applyFill="1" applyBorder="1" applyAlignment="1">
      <alignment horizontal="center" vertical="center" wrapText="1" shrinkToFit="1"/>
    </xf>
    <xf numFmtId="0" fontId="15" fillId="0" borderId="12" xfId="0" applyNumberFormat="1" applyFont="1" applyFill="1" applyBorder="1" applyAlignment="1" applyProtection="1">
      <alignment horizontal="left" vertical="center" wrapText="1"/>
      <protection/>
    </xf>
    <xf numFmtId="0" fontId="15" fillId="0" borderId="13" xfId="0" applyNumberFormat="1" applyFont="1" applyFill="1" applyBorder="1" applyAlignment="1" applyProtection="1">
      <alignment horizontal="left" vertical="center" wrapText="1"/>
      <protection/>
    </xf>
    <xf numFmtId="164" fontId="7" fillId="0" borderId="19" xfId="0" applyNumberFormat="1" applyFont="1" applyFill="1" applyBorder="1" applyAlignment="1" applyProtection="1">
      <alignment horizontal="right" vertical="center" wrapText="1" shrinkToFit="1"/>
      <protection locked="0"/>
    </xf>
    <xf numFmtId="164" fontId="7" fillId="0" borderId="20" xfId="0" applyNumberFormat="1" applyFont="1" applyFill="1" applyBorder="1" applyAlignment="1" applyProtection="1">
      <alignment horizontal="right" vertical="center" wrapText="1" shrinkToFit="1"/>
      <protection locked="0"/>
    </xf>
    <xf numFmtId="0" fontId="15" fillId="0" borderId="12" xfId="0" applyNumberFormat="1" applyFont="1" applyFill="1" applyBorder="1" applyAlignment="1" applyProtection="1">
      <alignment horizontal="center" wrapText="1"/>
      <protection/>
    </xf>
    <xf numFmtId="0" fontId="15" fillId="0" borderId="14" xfId="0" applyNumberFormat="1" applyFont="1" applyFill="1" applyBorder="1" applyAlignment="1" applyProtection="1">
      <alignment horizontal="center" wrapText="1"/>
      <protection/>
    </xf>
    <xf numFmtId="0" fontId="15" fillId="0" borderId="13" xfId="0" applyNumberFormat="1" applyFont="1" applyFill="1" applyBorder="1" applyAlignment="1" applyProtection="1">
      <alignment horizontal="center" wrapText="1"/>
      <protection/>
    </xf>
    <xf numFmtId="0" fontId="13" fillId="0" borderId="29" xfId="0" applyNumberFormat="1" applyFont="1" applyFill="1" applyBorder="1" applyAlignment="1" applyProtection="1">
      <alignment horizontal="center" vertical="center" wrapText="1" shrinkToFit="1"/>
      <protection locked="0"/>
    </xf>
    <xf numFmtId="0" fontId="13" fillId="0" borderId="30" xfId="0" applyNumberFormat="1" applyFont="1" applyFill="1" applyBorder="1" applyAlignment="1" applyProtection="1">
      <alignment horizontal="center" vertical="center" wrapText="1" shrinkToFit="1"/>
      <protection locked="0"/>
    </xf>
    <xf numFmtId="0" fontId="13" fillId="0" borderId="14" xfId="0" applyNumberFormat="1" applyFont="1" applyFill="1" applyBorder="1" applyAlignment="1" applyProtection="1">
      <alignment horizontal="center" vertical="center" wrapText="1" shrinkToFit="1"/>
      <protection locked="0"/>
    </xf>
    <xf numFmtId="0" fontId="5" fillId="0" borderId="10" xfId="53" applyFont="1" applyFill="1" applyBorder="1" applyAlignment="1">
      <alignment horizontal="center" vertical="center" wrapText="1"/>
      <protection/>
    </xf>
    <xf numFmtId="0" fontId="4" fillId="0" borderId="31"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1"/>
  <sheetViews>
    <sheetView tabSelected="1" zoomScalePageLayoutView="0" workbookViewId="0" topLeftCell="A1">
      <pane xSplit="4" ySplit="2" topLeftCell="K283" activePane="bottomRight" state="frozen"/>
      <selection pane="topLeft" activeCell="A1" sqref="A1"/>
      <selection pane="topRight" activeCell="E1" sqref="E1"/>
      <selection pane="bottomLeft" activeCell="A3" sqref="A3"/>
      <selection pane="bottomRight" activeCell="N292" sqref="N292"/>
    </sheetView>
  </sheetViews>
  <sheetFormatPr defaultColWidth="9.00390625" defaultRowHeight="12.75" outlineLevelRow="1" outlineLevelCol="1"/>
  <cols>
    <col min="1" max="1" width="3.75390625" style="9" customWidth="1"/>
    <col min="2" max="2" width="30.125" style="9" customWidth="1"/>
    <col min="3" max="3" width="0.12890625" style="9" hidden="1" customWidth="1"/>
    <col min="4" max="4" width="3.125" style="9" customWidth="1"/>
    <col min="5" max="5" width="21.875" style="9" customWidth="1"/>
    <col min="6" max="6" width="5.625" style="9" customWidth="1"/>
    <col min="7" max="7" width="9.25390625" style="9" customWidth="1"/>
    <col min="8" max="8" width="27.75390625" style="9" customWidth="1"/>
    <col min="9" max="9" width="5.625" style="9" customWidth="1"/>
    <col min="10" max="10" width="9.00390625" style="9" customWidth="1"/>
    <col min="11" max="11" width="40.00390625" style="9" customWidth="1"/>
    <col min="12" max="12" width="6.00390625" style="9" customWidth="1" outlineLevel="1"/>
    <col min="13" max="13" width="8.875" style="9" customWidth="1" outlineLevel="1"/>
    <col min="14" max="14" width="7.875" style="9" customWidth="1" outlineLevel="1"/>
    <col min="15" max="15" width="8.00390625" style="9" customWidth="1" outlineLevel="1"/>
    <col min="16" max="16" width="9.00390625" style="9" customWidth="1"/>
    <col min="17" max="17" width="7.625" style="9" customWidth="1"/>
    <col min="18" max="18" width="7.75390625" style="9" customWidth="1"/>
    <col min="19" max="19" width="7.75390625" style="1" customWidth="1"/>
    <col min="20" max="16384" width="9.125" style="1" customWidth="1"/>
  </cols>
  <sheetData>
    <row r="1" spans="1:18" ht="37.5" customHeight="1">
      <c r="A1" s="200" t="s">
        <v>1202</v>
      </c>
      <c r="B1" s="200"/>
      <c r="C1" s="200"/>
      <c r="D1" s="200"/>
      <c r="E1" s="200"/>
      <c r="F1" s="200"/>
      <c r="G1" s="200"/>
      <c r="H1" s="200"/>
      <c r="I1" s="200"/>
      <c r="J1" s="200"/>
      <c r="K1" s="200"/>
      <c r="L1" s="200"/>
      <c r="M1" s="200"/>
      <c r="N1" s="200"/>
      <c r="O1" s="200"/>
      <c r="P1" s="200"/>
      <c r="Q1" s="200"/>
      <c r="R1" s="200"/>
    </row>
    <row r="2" spans="1:19" s="2" customFormat="1" ht="42" customHeight="1">
      <c r="A2" s="194" t="s">
        <v>355</v>
      </c>
      <c r="B2" s="194"/>
      <c r="C2" s="47"/>
      <c r="D2" s="194" t="s">
        <v>254</v>
      </c>
      <c r="E2" s="194" t="s">
        <v>429</v>
      </c>
      <c r="F2" s="194"/>
      <c r="G2" s="194"/>
      <c r="H2" s="194" t="s">
        <v>430</v>
      </c>
      <c r="I2" s="194"/>
      <c r="J2" s="194"/>
      <c r="K2" s="194" t="s">
        <v>226</v>
      </c>
      <c r="L2" s="194"/>
      <c r="M2" s="194"/>
      <c r="N2" s="194" t="s">
        <v>578</v>
      </c>
      <c r="O2" s="194"/>
      <c r="P2" s="194" t="s">
        <v>579</v>
      </c>
      <c r="Q2" s="194" t="s">
        <v>227</v>
      </c>
      <c r="R2" s="194"/>
      <c r="S2" s="194"/>
    </row>
    <row r="3" spans="1:19" s="2" customFormat="1" ht="92.25" customHeight="1">
      <c r="A3" s="194"/>
      <c r="B3" s="194"/>
      <c r="C3" s="47"/>
      <c r="D3" s="194"/>
      <c r="E3" s="16" t="s">
        <v>228</v>
      </c>
      <c r="F3" s="16" t="s">
        <v>390</v>
      </c>
      <c r="G3" s="16" t="s">
        <v>391</v>
      </c>
      <c r="H3" s="16" t="s">
        <v>228</v>
      </c>
      <c r="I3" s="16" t="s">
        <v>390</v>
      </c>
      <c r="J3" s="16" t="s">
        <v>391</v>
      </c>
      <c r="K3" s="16" t="s">
        <v>228</v>
      </c>
      <c r="L3" s="16" t="s">
        <v>390</v>
      </c>
      <c r="M3" s="16" t="s">
        <v>555</v>
      </c>
      <c r="N3" s="16" t="s">
        <v>392</v>
      </c>
      <c r="O3" s="16" t="s">
        <v>380</v>
      </c>
      <c r="P3" s="194"/>
      <c r="Q3" s="217" t="s">
        <v>491</v>
      </c>
      <c r="R3" s="217" t="s">
        <v>503</v>
      </c>
      <c r="S3" s="217" t="s">
        <v>1204</v>
      </c>
    </row>
    <row r="4" spans="1:19" s="2" customFormat="1" ht="12.75" customHeight="1">
      <c r="A4" s="16" t="s">
        <v>381</v>
      </c>
      <c r="B4" s="16"/>
      <c r="C4" s="16" t="s">
        <v>382</v>
      </c>
      <c r="D4" s="16" t="s">
        <v>176</v>
      </c>
      <c r="E4" s="16" t="s">
        <v>177</v>
      </c>
      <c r="F4" s="16" t="s">
        <v>178</v>
      </c>
      <c r="G4" s="16" t="s">
        <v>179</v>
      </c>
      <c r="H4" s="16" t="s">
        <v>180</v>
      </c>
      <c r="I4" s="16" t="s">
        <v>181</v>
      </c>
      <c r="J4" s="16" t="s">
        <v>182</v>
      </c>
      <c r="K4" s="16" t="s">
        <v>183</v>
      </c>
      <c r="L4" s="16" t="s">
        <v>184</v>
      </c>
      <c r="M4" s="16" t="s">
        <v>185</v>
      </c>
      <c r="N4" s="16" t="s">
        <v>148</v>
      </c>
      <c r="O4" s="16" t="s">
        <v>149</v>
      </c>
      <c r="P4" s="16" t="s">
        <v>150</v>
      </c>
      <c r="Q4" s="16" t="s">
        <v>88</v>
      </c>
      <c r="R4" s="48" t="s">
        <v>556</v>
      </c>
      <c r="S4" s="48" t="s">
        <v>1203</v>
      </c>
    </row>
    <row r="5" spans="1:19" s="2" customFormat="1" ht="24" customHeight="1">
      <c r="A5" s="65" t="s">
        <v>472</v>
      </c>
      <c r="B5" s="20" t="s">
        <v>473</v>
      </c>
      <c r="C5" s="18"/>
      <c r="D5" s="71"/>
      <c r="E5" s="28"/>
      <c r="F5" s="27"/>
      <c r="G5" s="27"/>
      <c r="H5" s="27"/>
      <c r="I5" s="27"/>
      <c r="J5" s="27"/>
      <c r="K5" s="7"/>
      <c r="L5" s="27"/>
      <c r="M5" s="27"/>
      <c r="N5" s="29"/>
      <c r="O5" s="29"/>
      <c r="P5" s="29"/>
      <c r="Q5" s="29"/>
      <c r="R5" s="21"/>
      <c r="S5" s="21"/>
    </row>
    <row r="6" spans="1:19" s="2" customFormat="1" ht="29.25" customHeight="1">
      <c r="A6" s="65" t="s">
        <v>10</v>
      </c>
      <c r="B6" s="20" t="s">
        <v>500</v>
      </c>
      <c r="C6" s="18"/>
      <c r="D6" s="72"/>
      <c r="E6" s="28"/>
      <c r="F6" s="27"/>
      <c r="G6" s="27"/>
      <c r="H6" s="27"/>
      <c r="I6" s="27"/>
      <c r="J6" s="27"/>
      <c r="K6" s="7"/>
      <c r="L6" s="27"/>
      <c r="M6" s="27"/>
      <c r="N6" s="80">
        <f>N7+N23+N27+N30+N31+N35+N38+N44+N48+N54+N70+N124+N158+N165+N169+N173+N177+N183+N188+N192</f>
        <v>428622.7623000001</v>
      </c>
      <c r="O6" s="80">
        <f>O7+O23+O27+O30+O31+O35+O38+O44+O48+O54+O70+O124+O158+O165+O169+O173+O177+O183+O188+O192</f>
        <v>424638.0001</v>
      </c>
      <c r="P6" s="80">
        <f>P7+P23+P27+P30+P31+P35+P38+P44+P48+P54+P70+P124+P158+P165+P169+P173+P177+P183+P188+P192</f>
        <v>512366.51869</v>
      </c>
      <c r="Q6" s="80">
        <f>Q7+Q23+Q27+Q30+Q31+Q35+Q38+Q44+Q48+Q54+Q70+Q124+Q158+Q165+Q169+Q173+Q177+Q183+Q188+Q192</f>
        <v>374140.2</v>
      </c>
      <c r="R6" s="80">
        <f>R7+R23+R27+R30+R31+R35+R38+R44+R48+R54+R70+R124+R158+R165+R169+R173+R177+R183+R188+R192</f>
        <v>382772</v>
      </c>
      <c r="S6" s="80">
        <f>S7+S23+S27+S30+S31+S35+S38+S44+S48+S54+S70+S124+S158+S165+S169+S173+S177+S183+S188+S192</f>
        <v>404083.19999999995</v>
      </c>
    </row>
    <row r="7" spans="1:19" s="2" customFormat="1" ht="27" customHeight="1">
      <c r="A7" s="65" t="s">
        <v>75</v>
      </c>
      <c r="B7" s="20" t="s">
        <v>393</v>
      </c>
      <c r="C7" s="18"/>
      <c r="D7" s="72"/>
      <c r="E7" s="28"/>
      <c r="F7" s="28"/>
      <c r="G7" s="27"/>
      <c r="H7" s="27"/>
      <c r="I7" s="27"/>
      <c r="J7" s="27"/>
      <c r="K7" s="7"/>
      <c r="L7" s="27"/>
      <c r="M7" s="27"/>
      <c r="N7" s="80">
        <f>SUM(N8:N22)</f>
        <v>53276.65905</v>
      </c>
      <c r="O7" s="80">
        <f>SUM(O8:O22)</f>
        <v>52155.16649</v>
      </c>
      <c r="P7" s="80">
        <f>SUM(P8:P22)</f>
        <v>61282.25810000001</v>
      </c>
      <c r="Q7" s="80">
        <f>SUM(Q8:Q22)</f>
        <v>66133.9</v>
      </c>
      <c r="R7" s="80">
        <f>SUM(R8:R22)</f>
        <v>68679.50000000001</v>
      </c>
      <c r="S7" s="80">
        <f>SUM(S8:S22)</f>
        <v>73581.09999999999</v>
      </c>
    </row>
    <row r="8" spans="1:19" s="3" customFormat="1" ht="61.5" customHeight="1">
      <c r="A8" s="66"/>
      <c r="B8" s="11" t="s">
        <v>493</v>
      </c>
      <c r="C8" s="12"/>
      <c r="D8" s="73" t="s">
        <v>494</v>
      </c>
      <c r="E8" s="7" t="s">
        <v>81</v>
      </c>
      <c r="F8" s="7" t="s">
        <v>28</v>
      </c>
      <c r="G8" s="10" t="s">
        <v>338</v>
      </c>
      <c r="H8" s="7"/>
      <c r="I8" s="7"/>
      <c r="J8" s="7"/>
      <c r="K8" s="7" t="s">
        <v>104</v>
      </c>
      <c r="L8" s="7"/>
      <c r="M8" s="7"/>
      <c r="N8" s="81">
        <f>(1423000+154000)/1000</f>
        <v>1577</v>
      </c>
      <c r="O8" s="81">
        <f>(1422601.27+131616.75)/1000</f>
        <v>1554.21802</v>
      </c>
      <c r="P8" s="81">
        <f>(1700267.81+127978.94)/1000</f>
        <v>1828.24675</v>
      </c>
      <c r="Q8" s="81">
        <v>2111.5</v>
      </c>
      <c r="R8" s="82">
        <v>2187.8</v>
      </c>
      <c r="S8" s="82">
        <v>2348.6</v>
      </c>
    </row>
    <row r="9" spans="1:19" s="3" customFormat="1" ht="30" customHeight="1">
      <c r="A9" s="163"/>
      <c r="B9" s="187" t="s">
        <v>339</v>
      </c>
      <c r="C9" s="12"/>
      <c r="D9" s="74" t="s">
        <v>208</v>
      </c>
      <c r="E9" s="151" t="s">
        <v>81</v>
      </c>
      <c r="F9" s="151" t="s">
        <v>28</v>
      </c>
      <c r="G9" s="154" t="s">
        <v>338</v>
      </c>
      <c r="H9" s="151" t="s">
        <v>427</v>
      </c>
      <c r="I9" s="151" t="s">
        <v>422</v>
      </c>
      <c r="J9" s="151" t="s">
        <v>210</v>
      </c>
      <c r="K9" s="177" t="s">
        <v>136</v>
      </c>
      <c r="L9" s="177" t="s">
        <v>62</v>
      </c>
      <c r="M9" s="177" t="s">
        <v>63</v>
      </c>
      <c r="N9" s="83">
        <f>(1566000+30223.11)/1000</f>
        <v>1596.2231100000001</v>
      </c>
      <c r="O9" s="83">
        <f>(1565910.53+30223.11)/1000</f>
        <v>1596.1336400000002</v>
      </c>
      <c r="P9" s="83">
        <f>1864072.12/1000</f>
        <v>1864.07212</v>
      </c>
      <c r="Q9" s="148">
        <v>41934.4</v>
      </c>
      <c r="R9" s="178">
        <v>43415.9</v>
      </c>
      <c r="S9" s="178">
        <v>46729.4</v>
      </c>
    </row>
    <row r="10" spans="1:19" s="3" customFormat="1" ht="30" customHeight="1">
      <c r="A10" s="164"/>
      <c r="B10" s="187"/>
      <c r="C10" s="12"/>
      <c r="D10" s="75" t="s">
        <v>340</v>
      </c>
      <c r="E10" s="152"/>
      <c r="F10" s="152"/>
      <c r="G10" s="155"/>
      <c r="H10" s="152"/>
      <c r="I10" s="152"/>
      <c r="J10" s="152"/>
      <c r="K10" s="177"/>
      <c r="L10" s="177"/>
      <c r="M10" s="177"/>
      <c r="N10" s="84">
        <f>(32894653.9+425721.89)/1000</f>
        <v>33320.37579</v>
      </c>
      <c r="O10" s="84">
        <f>(32850254.23+425721.89)/1000</f>
        <v>33275.97612</v>
      </c>
      <c r="P10" s="84">
        <f>38098529/1000</f>
        <v>38098.529</v>
      </c>
      <c r="Q10" s="149"/>
      <c r="R10" s="192"/>
      <c r="S10" s="192"/>
    </row>
    <row r="11" spans="1:19" s="3" customFormat="1" ht="61.5" customHeight="1">
      <c r="A11" s="164"/>
      <c r="B11" s="187"/>
      <c r="C11" s="12"/>
      <c r="D11" s="75" t="s">
        <v>332</v>
      </c>
      <c r="E11" s="41" t="s">
        <v>428</v>
      </c>
      <c r="F11" s="41" t="s">
        <v>720</v>
      </c>
      <c r="G11" s="42" t="s">
        <v>79</v>
      </c>
      <c r="H11" s="41" t="s">
        <v>284</v>
      </c>
      <c r="I11" s="41" t="s">
        <v>721</v>
      </c>
      <c r="J11" s="41" t="s">
        <v>210</v>
      </c>
      <c r="K11" s="177"/>
      <c r="L11" s="177"/>
      <c r="M11" s="177"/>
      <c r="N11" s="84">
        <f>1251547.55/1000</f>
        <v>1251.54755</v>
      </c>
      <c r="O11" s="84">
        <f>1251547.55/1000</f>
        <v>1251.54755</v>
      </c>
      <c r="P11" s="84"/>
      <c r="Q11" s="149"/>
      <c r="R11" s="192"/>
      <c r="S11" s="192"/>
    </row>
    <row r="12" spans="1:19" s="3" customFormat="1" ht="99" customHeight="1">
      <c r="A12" s="66"/>
      <c r="B12" s="11" t="s">
        <v>1144</v>
      </c>
      <c r="C12" s="12"/>
      <c r="D12" s="73" t="s">
        <v>507</v>
      </c>
      <c r="E12" s="7" t="s">
        <v>81</v>
      </c>
      <c r="F12" s="7" t="s">
        <v>28</v>
      </c>
      <c r="G12" s="10" t="s">
        <v>338</v>
      </c>
      <c r="H12" s="7" t="s">
        <v>1158</v>
      </c>
      <c r="I12" s="7" t="s">
        <v>421</v>
      </c>
      <c r="J12" s="7" t="s">
        <v>1177</v>
      </c>
      <c r="K12" s="63" t="s">
        <v>1145</v>
      </c>
      <c r="L12" s="63" t="s">
        <v>499</v>
      </c>
      <c r="M12" s="63" t="s">
        <v>1146</v>
      </c>
      <c r="N12" s="81">
        <v>0</v>
      </c>
      <c r="O12" s="81">
        <v>0</v>
      </c>
      <c r="P12" s="81">
        <f>3384653.08/1000</f>
        <v>3384.65308</v>
      </c>
      <c r="Q12" s="81">
        <v>0</v>
      </c>
      <c r="R12" s="82">
        <v>0</v>
      </c>
      <c r="S12" s="82">
        <v>0</v>
      </c>
    </row>
    <row r="13" spans="1:19" s="3" customFormat="1" ht="50.25" customHeight="1">
      <c r="A13" s="66"/>
      <c r="B13" s="11" t="s">
        <v>336</v>
      </c>
      <c r="C13" s="12"/>
      <c r="D13" s="74" t="s">
        <v>332</v>
      </c>
      <c r="E13" s="151" t="s">
        <v>81</v>
      </c>
      <c r="F13" s="151" t="s">
        <v>28</v>
      </c>
      <c r="G13" s="154" t="s">
        <v>338</v>
      </c>
      <c r="H13" s="151" t="s">
        <v>723</v>
      </c>
      <c r="I13" s="151" t="s">
        <v>499</v>
      </c>
      <c r="J13" s="151" t="s">
        <v>724</v>
      </c>
      <c r="K13" s="151" t="s">
        <v>677</v>
      </c>
      <c r="L13" s="151" t="s">
        <v>678</v>
      </c>
      <c r="M13" s="151" t="s">
        <v>552</v>
      </c>
      <c r="N13" s="81">
        <f>1236297/1000</f>
        <v>1236.297</v>
      </c>
      <c r="O13" s="81">
        <f>1236297/1000</f>
        <v>1236.297</v>
      </c>
      <c r="P13" s="85">
        <v>0</v>
      </c>
      <c r="Q13" s="81">
        <v>0</v>
      </c>
      <c r="R13" s="82">
        <v>0</v>
      </c>
      <c r="S13" s="82">
        <v>0</v>
      </c>
    </row>
    <row r="14" spans="1:19" s="3" customFormat="1" ht="50.25" customHeight="1">
      <c r="A14" s="66"/>
      <c r="B14" s="11" t="s">
        <v>551</v>
      </c>
      <c r="C14" s="12"/>
      <c r="D14" s="74" t="s">
        <v>332</v>
      </c>
      <c r="E14" s="152"/>
      <c r="F14" s="152"/>
      <c r="G14" s="155"/>
      <c r="H14" s="153"/>
      <c r="I14" s="153"/>
      <c r="J14" s="153"/>
      <c r="K14" s="153"/>
      <c r="L14" s="153"/>
      <c r="M14" s="153"/>
      <c r="N14" s="81">
        <f>940303/1000</f>
        <v>940.303</v>
      </c>
      <c r="O14" s="81">
        <f>940303/1000</f>
        <v>940.303</v>
      </c>
      <c r="P14" s="85">
        <v>0</v>
      </c>
      <c r="Q14" s="81">
        <v>0</v>
      </c>
      <c r="R14" s="82">
        <v>0</v>
      </c>
      <c r="S14" s="82">
        <v>0</v>
      </c>
    </row>
    <row r="15" spans="1:19" s="3" customFormat="1" ht="72.75" customHeight="1">
      <c r="A15" s="66"/>
      <c r="B15" s="11" t="s">
        <v>201</v>
      </c>
      <c r="C15" s="12"/>
      <c r="D15" s="73" t="s">
        <v>340</v>
      </c>
      <c r="E15" s="7" t="s">
        <v>81</v>
      </c>
      <c r="F15" s="7" t="s">
        <v>28</v>
      </c>
      <c r="G15" s="10" t="s">
        <v>338</v>
      </c>
      <c r="H15" s="7" t="s">
        <v>427</v>
      </c>
      <c r="I15" s="7" t="s">
        <v>353</v>
      </c>
      <c r="J15" s="7" t="s">
        <v>80</v>
      </c>
      <c r="K15" s="7" t="s">
        <v>190</v>
      </c>
      <c r="L15" s="7" t="s">
        <v>191</v>
      </c>
      <c r="M15" s="7" t="s">
        <v>80</v>
      </c>
      <c r="N15" s="81">
        <f>181834/1000</f>
        <v>181.834</v>
      </c>
      <c r="O15" s="81">
        <f>176836/1000</f>
        <v>176.836</v>
      </c>
      <c r="P15" s="81">
        <f>193000/1000</f>
        <v>193</v>
      </c>
      <c r="Q15" s="81">
        <v>200</v>
      </c>
      <c r="R15" s="82">
        <v>211.8</v>
      </c>
      <c r="S15" s="82">
        <v>222.8</v>
      </c>
    </row>
    <row r="16" spans="1:19" s="3" customFormat="1" ht="99.75" customHeight="1">
      <c r="A16" s="66"/>
      <c r="B16" s="11" t="s">
        <v>1047</v>
      </c>
      <c r="C16" s="12"/>
      <c r="D16" s="73" t="s">
        <v>507</v>
      </c>
      <c r="E16" s="7" t="s">
        <v>81</v>
      </c>
      <c r="F16" s="7" t="s">
        <v>28</v>
      </c>
      <c r="G16" s="10" t="s">
        <v>338</v>
      </c>
      <c r="H16" s="7"/>
      <c r="I16" s="7"/>
      <c r="J16" s="7"/>
      <c r="K16" s="52" t="s">
        <v>1048</v>
      </c>
      <c r="L16" s="52" t="s">
        <v>421</v>
      </c>
      <c r="M16" s="52" t="s">
        <v>1049</v>
      </c>
      <c r="N16" s="81">
        <v>0</v>
      </c>
      <c r="O16" s="81">
        <v>0</v>
      </c>
      <c r="P16" s="81">
        <f>10000/1000</f>
        <v>10</v>
      </c>
      <c r="Q16" s="81">
        <v>0</v>
      </c>
      <c r="R16" s="82">
        <v>0</v>
      </c>
      <c r="S16" s="82">
        <v>0</v>
      </c>
    </row>
    <row r="17" spans="1:19" s="3" customFormat="1" ht="75.75" customHeight="1">
      <c r="A17" s="66"/>
      <c r="B17" s="11" t="s">
        <v>13</v>
      </c>
      <c r="C17" s="12"/>
      <c r="D17" s="73" t="s">
        <v>507</v>
      </c>
      <c r="E17" s="7" t="s">
        <v>81</v>
      </c>
      <c r="F17" s="7" t="s">
        <v>28</v>
      </c>
      <c r="G17" s="10" t="s">
        <v>338</v>
      </c>
      <c r="H17" s="7" t="s">
        <v>1027</v>
      </c>
      <c r="I17" s="7" t="s">
        <v>1028</v>
      </c>
      <c r="J17" s="7" t="s">
        <v>1029</v>
      </c>
      <c r="K17" s="7" t="s">
        <v>40</v>
      </c>
      <c r="L17" s="7" t="s">
        <v>341</v>
      </c>
      <c r="M17" s="7" t="s">
        <v>162</v>
      </c>
      <c r="N17" s="81">
        <f>133280/1000</f>
        <v>133.28</v>
      </c>
      <c r="O17" s="81">
        <f>133280/1000</f>
        <v>133.28</v>
      </c>
      <c r="P17" s="81">
        <f>130280/1000</f>
        <v>130.28</v>
      </c>
      <c r="Q17" s="81">
        <v>151</v>
      </c>
      <c r="R17" s="82">
        <v>159.9</v>
      </c>
      <c r="S17" s="82">
        <v>168.2</v>
      </c>
    </row>
    <row r="18" spans="1:19" s="3" customFormat="1" ht="99" customHeight="1">
      <c r="A18" s="68"/>
      <c r="B18" s="43" t="s">
        <v>489</v>
      </c>
      <c r="C18" s="43"/>
      <c r="D18" s="74" t="s">
        <v>16</v>
      </c>
      <c r="E18" s="7" t="s">
        <v>130</v>
      </c>
      <c r="F18" s="7" t="s">
        <v>132</v>
      </c>
      <c r="G18" s="7" t="s">
        <v>725</v>
      </c>
      <c r="H18" s="7" t="s">
        <v>427</v>
      </c>
      <c r="I18" s="7" t="s">
        <v>353</v>
      </c>
      <c r="J18" s="7" t="s">
        <v>80</v>
      </c>
      <c r="K18" s="39" t="s">
        <v>527</v>
      </c>
      <c r="L18" s="46" t="s">
        <v>348</v>
      </c>
      <c r="M18" s="46" t="s">
        <v>349</v>
      </c>
      <c r="N18" s="83">
        <f>(11430694.99+66270)/1000</f>
        <v>11496.96499</v>
      </c>
      <c r="O18" s="83">
        <f>(11428214.01+66270)/1000</f>
        <v>11494.48401</v>
      </c>
      <c r="P18" s="83">
        <f>13738133.58/1000</f>
        <v>13738.13358</v>
      </c>
      <c r="Q18" s="83">
        <v>12968.1</v>
      </c>
      <c r="R18" s="86">
        <v>13435</v>
      </c>
      <c r="S18" s="86">
        <v>14424.5</v>
      </c>
    </row>
    <row r="19" spans="1:19" s="3" customFormat="1" ht="101.25" customHeight="1">
      <c r="A19" s="66"/>
      <c r="B19" s="11" t="s">
        <v>676</v>
      </c>
      <c r="C19" s="12"/>
      <c r="D19" s="73" t="s">
        <v>507</v>
      </c>
      <c r="E19" s="7" t="s">
        <v>858</v>
      </c>
      <c r="F19" s="7" t="s">
        <v>859</v>
      </c>
      <c r="G19" s="10">
        <v>38006</v>
      </c>
      <c r="H19" s="7" t="s">
        <v>746</v>
      </c>
      <c r="I19" s="7" t="s">
        <v>421</v>
      </c>
      <c r="J19" s="7" t="s">
        <v>747</v>
      </c>
      <c r="K19" s="7" t="s">
        <v>136</v>
      </c>
      <c r="L19" s="7" t="s">
        <v>62</v>
      </c>
      <c r="M19" s="7" t="s">
        <v>63</v>
      </c>
      <c r="N19" s="81">
        <f>496105.95/1000</f>
        <v>496.10595</v>
      </c>
      <c r="O19" s="81">
        <f>496091.15/1000</f>
        <v>496.09115</v>
      </c>
      <c r="P19" s="81">
        <f>1290800/1000</f>
        <v>1290.8</v>
      </c>
      <c r="Q19" s="81">
        <v>1168</v>
      </c>
      <c r="R19" s="82">
        <v>1219.7</v>
      </c>
      <c r="S19" s="82">
        <v>1219.7</v>
      </c>
    </row>
    <row r="20" spans="1:19" s="3" customFormat="1" ht="66" customHeight="1">
      <c r="A20" s="66"/>
      <c r="B20" s="11" t="s">
        <v>478</v>
      </c>
      <c r="C20" s="12"/>
      <c r="D20" s="73" t="s">
        <v>508</v>
      </c>
      <c r="E20" s="7" t="s">
        <v>81</v>
      </c>
      <c r="F20" s="7" t="s">
        <v>28</v>
      </c>
      <c r="G20" s="10" t="s">
        <v>82</v>
      </c>
      <c r="H20" s="7"/>
      <c r="I20" s="7"/>
      <c r="J20" s="7"/>
      <c r="K20" s="7" t="s">
        <v>18</v>
      </c>
      <c r="L20" s="7" t="s">
        <v>64</v>
      </c>
      <c r="M20" s="7" t="s">
        <v>65</v>
      </c>
      <c r="N20" s="81">
        <f>782470.93/1000</f>
        <v>782.4709300000001</v>
      </c>
      <c r="O20" s="81">
        <v>0</v>
      </c>
      <c r="P20" s="81">
        <f>668925.46/1000</f>
        <v>668.9254599999999</v>
      </c>
      <c r="Q20" s="81">
        <v>6480.9</v>
      </c>
      <c r="R20" s="82">
        <v>6863.3</v>
      </c>
      <c r="S20" s="82">
        <v>7220.2</v>
      </c>
    </row>
    <row r="21" spans="1:19" s="3" customFormat="1" ht="74.25" customHeight="1">
      <c r="A21" s="188"/>
      <c r="B21" s="187" t="s">
        <v>39</v>
      </c>
      <c r="C21" s="195"/>
      <c r="D21" s="191" t="s">
        <v>507</v>
      </c>
      <c r="E21" s="39" t="s">
        <v>399</v>
      </c>
      <c r="F21" s="39" t="s">
        <v>400</v>
      </c>
      <c r="G21" s="39" t="s">
        <v>402</v>
      </c>
      <c r="H21" s="177" t="s">
        <v>453</v>
      </c>
      <c r="I21" s="177" t="s">
        <v>193</v>
      </c>
      <c r="J21" s="177" t="s">
        <v>334</v>
      </c>
      <c r="K21" s="177" t="s">
        <v>1159</v>
      </c>
      <c r="L21" s="177" t="s">
        <v>398</v>
      </c>
      <c r="M21" s="177" t="s">
        <v>80</v>
      </c>
      <c r="N21" s="199">
        <f>264256.73/1000</f>
        <v>264.25673</v>
      </c>
      <c r="O21" s="199">
        <v>0</v>
      </c>
      <c r="P21" s="199">
        <f>75618.11/1000</f>
        <v>75.61811</v>
      </c>
      <c r="Q21" s="199">
        <v>1120</v>
      </c>
      <c r="R21" s="201">
        <v>1186.1</v>
      </c>
      <c r="S21" s="201">
        <v>1247.7</v>
      </c>
    </row>
    <row r="22" spans="1:19" s="3" customFormat="1" ht="148.5" customHeight="1">
      <c r="A22" s="188"/>
      <c r="B22" s="187"/>
      <c r="C22" s="195"/>
      <c r="D22" s="191"/>
      <c r="E22" s="41" t="s">
        <v>91</v>
      </c>
      <c r="F22" s="41" t="s">
        <v>401</v>
      </c>
      <c r="G22" s="41" t="s">
        <v>192</v>
      </c>
      <c r="H22" s="177"/>
      <c r="I22" s="177"/>
      <c r="J22" s="177"/>
      <c r="K22" s="177"/>
      <c r="L22" s="177"/>
      <c r="M22" s="177"/>
      <c r="N22" s="199"/>
      <c r="O22" s="199"/>
      <c r="P22" s="199"/>
      <c r="Q22" s="199"/>
      <c r="R22" s="201"/>
      <c r="S22" s="201"/>
    </row>
    <row r="23" spans="1:19" s="2" customFormat="1" ht="24">
      <c r="A23" s="65" t="s">
        <v>209</v>
      </c>
      <c r="B23" s="30" t="s">
        <v>396</v>
      </c>
      <c r="C23" s="18"/>
      <c r="D23" s="73"/>
      <c r="E23" s="7"/>
      <c r="F23" s="7"/>
      <c r="G23" s="7"/>
      <c r="H23" s="7"/>
      <c r="I23" s="7"/>
      <c r="J23" s="7"/>
      <c r="K23" s="7"/>
      <c r="L23" s="7"/>
      <c r="M23" s="7"/>
      <c r="N23" s="80">
        <f>SUM(N24:N25)</f>
        <v>5360.13822</v>
      </c>
      <c r="O23" s="80">
        <f>SUM(O24:O25)</f>
        <v>5360.13822</v>
      </c>
      <c r="P23" s="80">
        <f>SUM(P24:P25)</f>
        <v>6034.4564</v>
      </c>
      <c r="Q23" s="80">
        <f>SUM(Q24:Q25)</f>
        <v>6421.8</v>
      </c>
      <c r="R23" s="80">
        <f>SUM(R24:R25)</f>
        <v>6653.8</v>
      </c>
      <c r="S23" s="80">
        <f>SUM(S24:S25)</f>
        <v>7143.7</v>
      </c>
    </row>
    <row r="24" spans="1:19" s="3" customFormat="1" ht="69" customHeight="1">
      <c r="A24" s="65"/>
      <c r="B24" s="13" t="s">
        <v>189</v>
      </c>
      <c r="C24" s="18"/>
      <c r="D24" s="73" t="s">
        <v>507</v>
      </c>
      <c r="E24" s="7" t="s">
        <v>81</v>
      </c>
      <c r="F24" s="7" t="s">
        <v>211</v>
      </c>
      <c r="G24" s="7" t="s">
        <v>82</v>
      </c>
      <c r="H24" s="7" t="s">
        <v>427</v>
      </c>
      <c r="I24" s="7" t="s">
        <v>353</v>
      </c>
      <c r="J24" s="7" t="s">
        <v>80</v>
      </c>
      <c r="K24" s="7" t="s">
        <v>66</v>
      </c>
      <c r="L24" s="7" t="s">
        <v>341</v>
      </c>
      <c r="M24" s="7" t="s">
        <v>403</v>
      </c>
      <c r="N24" s="81">
        <f>(2244730+2833270+238400)/1000</f>
        <v>5316.4</v>
      </c>
      <c r="O24" s="81">
        <f>(2244730+2833270+238400)/1000</f>
        <v>5316.4</v>
      </c>
      <c r="P24" s="81">
        <f>(2579587.62+3454868.78)/1000</f>
        <v>6034.4564</v>
      </c>
      <c r="Q24" s="81">
        <f>6275.8+146</f>
        <v>6421.8</v>
      </c>
      <c r="R24" s="82">
        <f>6499.2+154.6</f>
        <v>6653.8</v>
      </c>
      <c r="S24" s="82">
        <v>7143.7</v>
      </c>
    </row>
    <row r="25" spans="1:19" s="3" customFormat="1" ht="66.75" customHeight="1">
      <c r="A25" s="65"/>
      <c r="B25" s="13" t="s">
        <v>71</v>
      </c>
      <c r="C25" s="18"/>
      <c r="D25" s="73" t="s">
        <v>332</v>
      </c>
      <c r="E25" s="17"/>
      <c r="F25" s="7"/>
      <c r="G25" s="10"/>
      <c r="H25" s="7"/>
      <c r="I25" s="7"/>
      <c r="J25" s="7"/>
      <c r="K25" s="7" t="s">
        <v>319</v>
      </c>
      <c r="L25" s="7" t="s">
        <v>421</v>
      </c>
      <c r="M25" s="7" t="s">
        <v>320</v>
      </c>
      <c r="N25" s="81">
        <f>(28345.44+15392.78)/1000</f>
        <v>43.73822</v>
      </c>
      <c r="O25" s="81">
        <f>(28345.44+15392.78)/1000</f>
        <v>43.73822</v>
      </c>
      <c r="P25" s="81">
        <v>0</v>
      </c>
      <c r="Q25" s="81">
        <v>0</v>
      </c>
      <c r="R25" s="82">
        <v>0</v>
      </c>
      <c r="S25" s="82">
        <v>0</v>
      </c>
    </row>
    <row r="26" spans="1:19" s="2" customFormat="1" ht="36.75" customHeight="1">
      <c r="A26" s="65" t="s">
        <v>460</v>
      </c>
      <c r="B26" s="20" t="s">
        <v>109</v>
      </c>
      <c r="C26" s="18"/>
      <c r="D26" s="73"/>
      <c r="E26" s="7"/>
      <c r="F26" s="7"/>
      <c r="G26" s="7"/>
      <c r="H26" s="7"/>
      <c r="I26" s="7"/>
      <c r="J26" s="7"/>
      <c r="K26" s="7"/>
      <c r="L26" s="7"/>
      <c r="M26" s="7"/>
      <c r="N26" s="81"/>
      <c r="O26" s="81"/>
      <c r="P26" s="81"/>
      <c r="Q26" s="87"/>
      <c r="R26" s="117"/>
      <c r="S26" s="117"/>
    </row>
    <row r="27" spans="1:19" s="2" customFormat="1" ht="84.75" customHeight="1">
      <c r="A27" s="65" t="s">
        <v>172</v>
      </c>
      <c r="B27" s="20" t="s">
        <v>255</v>
      </c>
      <c r="C27" s="18"/>
      <c r="D27" s="76" t="s">
        <v>243</v>
      </c>
      <c r="E27" s="31" t="s">
        <v>285</v>
      </c>
      <c r="F27" s="31" t="s">
        <v>286</v>
      </c>
      <c r="G27" s="31" t="s">
        <v>857</v>
      </c>
      <c r="H27" s="31" t="s">
        <v>120</v>
      </c>
      <c r="I27" s="31" t="s">
        <v>121</v>
      </c>
      <c r="J27" s="31" t="s">
        <v>122</v>
      </c>
      <c r="K27" s="31" t="s">
        <v>110</v>
      </c>
      <c r="L27" s="31" t="s">
        <v>341</v>
      </c>
      <c r="M27" s="31" t="s">
        <v>210</v>
      </c>
      <c r="N27" s="80">
        <f>1813442.9/1000</f>
        <v>1813.4429</v>
      </c>
      <c r="O27" s="80">
        <f>1795900/1000</f>
        <v>1795.9</v>
      </c>
      <c r="P27" s="80">
        <v>0</v>
      </c>
      <c r="Q27" s="80">
        <v>0</v>
      </c>
      <c r="R27" s="80">
        <f>2055300/1000</f>
        <v>2055.3</v>
      </c>
      <c r="S27" s="80">
        <v>0</v>
      </c>
    </row>
    <row r="28" spans="1:19" s="6" customFormat="1" ht="34.5" customHeight="1">
      <c r="A28" s="65" t="s">
        <v>318</v>
      </c>
      <c r="B28" s="20" t="s">
        <v>461</v>
      </c>
      <c r="C28" s="18"/>
      <c r="D28" s="76"/>
      <c r="E28" s="31"/>
      <c r="F28" s="31"/>
      <c r="G28" s="31"/>
      <c r="H28" s="31"/>
      <c r="I28" s="31"/>
      <c r="J28" s="31"/>
      <c r="K28" s="31"/>
      <c r="L28" s="31"/>
      <c r="M28" s="31"/>
      <c r="N28" s="80"/>
      <c r="O28" s="80"/>
      <c r="P28" s="80"/>
      <c r="Q28" s="80"/>
      <c r="R28" s="80"/>
      <c r="S28" s="80"/>
    </row>
    <row r="29" spans="1:19" s="2" customFormat="1" ht="36.75" customHeight="1">
      <c r="A29" s="65" t="s">
        <v>57</v>
      </c>
      <c r="B29" s="20" t="s">
        <v>216</v>
      </c>
      <c r="C29" s="18"/>
      <c r="D29" s="73"/>
      <c r="E29" s="7"/>
      <c r="F29" s="7"/>
      <c r="G29" s="7"/>
      <c r="H29" s="7"/>
      <c r="I29" s="7"/>
      <c r="J29" s="7"/>
      <c r="K29" s="7"/>
      <c r="L29" s="7"/>
      <c r="M29" s="7"/>
      <c r="N29" s="81"/>
      <c r="O29" s="81"/>
      <c r="P29" s="81"/>
      <c r="Q29" s="87"/>
      <c r="R29" s="117"/>
      <c r="S29" s="117"/>
    </row>
    <row r="30" spans="1:19" s="6" customFormat="1" ht="97.5" customHeight="1">
      <c r="A30" s="65" t="s">
        <v>86</v>
      </c>
      <c r="B30" s="20" t="s">
        <v>363</v>
      </c>
      <c r="C30" s="18"/>
      <c r="D30" s="76" t="s">
        <v>340</v>
      </c>
      <c r="E30" s="31" t="s">
        <v>81</v>
      </c>
      <c r="F30" s="31" t="s">
        <v>28</v>
      </c>
      <c r="G30" s="31" t="s">
        <v>82</v>
      </c>
      <c r="H30" s="31"/>
      <c r="I30" s="31"/>
      <c r="J30" s="31"/>
      <c r="K30" s="31" t="s">
        <v>137</v>
      </c>
      <c r="L30" s="31" t="s">
        <v>268</v>
      </c>
      <c r="M30" s="32" t="s">
        <v>80</v>
      </c>
      <c r="N30" s="80">
        <f>522155/1000</f>
        <v>522.155</v>
      </c>
      <c r="O30" s="80">
        <f>499980/1000</f>
        <v>499.98</v>
      </c>
      <c r="P30" s="80">
        <f>463856/1000</f>
        <v>463.856</v>
      </c>
      <c r="Q30" s="80">
        <v>778</v>
      </c>
      <c r="R30" s="118">
        <v>823.9</v>
      </c>
      <c r="S30" s="118">
        <v>866.7</v>
      </c>
    </row>
    <row r="31" spans="1:19" s="2" customFormat="1" ht="51.75" customHeight="1">
      <c r="A31" s="65" t="s">
        <v>92</v>
      </c>
      <c r="B31" s="20" t="s">
        <v>67</v>
      </c>
      <c r="C31" s="18"/>
      <c r="D31" s="73"/>
      <c r="E31" s="7"/>
      <c r="F31" s="7"/>
      <c r="G31" s="7"/>
      <c r="H31" s="7"/>
      <c r="I31" s="7"/>
      <c r="J31" s="7"/>
      <c r="K31" s="7"/>
      <c r="L31" s="7"/>
      <c r="M31" s="7"/>
      <c r="N31" s="80">
        <f>SUM(N32:N33)</f>
        <v>13322.595</v>
      </c>
      <c r="O31" s="80">
        <f>SUM(O32:O33)</f>
        <v>13318.31665</v>
      </c>
      <c r="P31" s="80">
        <f>SUM(P32:P33)</f>
        <v>15010.322999999999</v>
      </c>
      <c r="Q31" s="80">
        <f>SUM(Q32:Q33)</f>
        <v>15677.4</v>
      </c>
      <c r="R31" s="80">
        <f>SUM(R32:R33)</f>
        <v>16267</v>
      </c>
      <c r="S31" s="80">
        <f>SUM(S32:S33)</f>
        <v>17440.3</v>
      </c>
    </row>
    <row r="32" spans="1:19" s="3" customFormat="1" ht="63" customHeight="1">
      <c r="A32" s="66"/>
      <c r="B32" s="11" t="s">
        <v>476</v>
      </c>
      <c r="C32" s="12"/>
      <c r="D32" s="73" t="s">
        <v>477</v>
      </c>
      <c r="E32" s="7" t="s">
        <v>81</v>
      </c>
      <c r="F32" s="7" t="s">
        <v>164</v>
      </c>
      <c r="G32" s="7" t="s">
        <v>82</v>
      </c>
      <c r="H32" s="7" t="s">
        <v>427</v>
      </c>
      <c r="I32" s="7" t="s">
        <v>353</v>
      </c>
      <c r="J32" s="7" t="s">
        <v>80</v>
      </c>
      <c r="K32" s="7" t="s">
        <v>157</v>
      </c>
      <c r="L32" s="7" t="s">
        <v>196</v>
      </c>
      <c r="M32" s="7" t="s">
        <v>80</v>
      </c>
      <c r="N32" s="81">
        <f>(11977910+584385)/1000</f>
        <v>12562.295</v>
      </c>
      <c r="O32" s="81">
        <f>(11973659.14+584385)/1000</f>
        <v>12558.04414</v>
      </c>
      <c r="P32" s="81">
        <f>14126523/1000</f>
        <v>14126.523</v>
      </c>
      <c r="Q32" s="81">
        <f>14226.6+450</f>
        <v>14676.6</v>
      </c>
      <c r="R32" s="82">
        <f>14730.4+476.6</f>
        <v>15207</v>
      </c>
      <c r="S32" s="82">
        <f>15824+501.3</f>
        <v>16325.3</v>
      </c>
    </row>
    <row r="33" spans="1:19" s="3" customFormat="1" ht="62.25" customHeight="1">
      <c r="A33" s="66"/>
      <c r="B33" s="11" t="s">
        <v>233</v>
      </c>
      <c r="C33" s="12"/>
      <c r="D33" s="73" t="s">
        <v>507</v>
      </c>
      <c r="E33" s="7" t="s">
        <v>81</v>
      </c>
      <c r="F33" s="7" t="s">
        <v>164</v>
      </c>
      <c r="G33" s="7" t="s">
        <v>82</v>
      </c>
      <c r="H33" s="7"/>
      <c r="I33" s="7"/>
      <c r="J33" s="7"/>
      <c r="K33" s="7" t="s">
        <v>234</v>
      </c>
      <c r="L33" s="7" t="s">
        <v>30</v>
      </c>
      <c r="M33" s="7" t="s">
        <v>80</v>
      </c>
      <c r="N33" s="81">
        <f>760300/1000</f>
        <v>760.3</v>
      </c>
      <c r="O33" s="81">
        <f>760272.51/1000</f>
        <v>760.27251</v>
      </c>
      <c r="P33" s="81">
        <f>883800/1000</f>
        <v>883.8</v>
      </c>
      <c r="Q33" s="81">
        <v>1000.8</v>
      </c>
      <c r="R33" s="82">
        <v>1060</v>
      </c>
      <c r="S33" s="82">
        <v>1115</v>
      </c>
    </row>
    <row r="34" spans="1:19" s="2" customFormat="1" ht="24.75" customHeight="1">
      <c r="A34" s="65" t="s">
        <v>350</v>
      </c>
      <c r="B34" s="20" t="s">
        <v>360</v>
      </c>
      <c r="C34" s="18"/>
      <c r="D34" s="73"/>
      <c r="E34" s="7"/>
      <c r="F34" s="7"/>
      <c r="G34" s="7"/>
      <c r="H34" s="7"/>
      <c r="I34" s="7"/>
      <c r="J34" s="7"/>
      <c r="K34" s="7"/>
      <c r="L34" s="7"/>
      <c r="M34" s="7"/>
      <c r="N34" s="81"/>
      <c r="O34" s="81"/>
      <c r="P34" s="81"/>
      <c r="Q34" s="87"/>
      <c r="R34" s="117"/>
      <c r="S34" s="117"/>
    </row>
    <row r="35" spans="1:19" s="6" customFormat="1" ht="50.25" customHeight="1">
      <c r="A35" s="65" t="s">
        <v>31</v>
      </c>
      <c r="B35" s="33" t="s">
        <v>32</v>
      </c>
      <c r="C35" s="18"/>
      <c r="D35" s="76"/>
      <c r="E35" s="31"/>
      <c r="F35" s="31"/>
      <c r="G35" s="31"/>
      <c r="H35" s="31"/>
      <c r="I35" s="31"/>
      <c r="J35" s="31"/>
      <c r="K35" s="31"/>
      <c r="L35" s="31"/>
      <c r="M35" s="31"/>
      <c r="N35" s="80">
        <f>SUM(N36:N37)</f>
        <v>1241.9</v>
      </c>
      <c r="O35" s="80">
        <f>SUM(O36:O37)</f>
        <v>1241.9</v>
      </c>
      <c r="P35" s="80">
        <f>SUM(P36:P37)</f>
        <v>3194.7146</v>
      </c>
      <c r="Q35" s="80">
        <f>SUM(Q36:Q37)</f>
        <v>5578.6</v>
      </c>
      <c r="R35" s="80">
        <f>SUM(R36:R37)</f>
        <v>5907.7</v>
      </c>
      <c r="S35" s="80">
        <f>SUM(S36:S37)</f>
        <v>6216.099999999999</v>
      </c>
    </row>
    <row r="36" spans="1:19" s="6" customFormat="1" ht="96.75" customHeight="1">
      <c r="A36" s="66"/>
      <c r="B36" s="11" t="s">
        <v>251</v>
      </c>
      <c r="C36" s="12"/>
      <c r="D36" s="73" t="s">
        <v>507</v>
      </c>
      <c r="E36" s="7" t="s">
        <v>81</v>
      </c>
      <c r="F36" s="7" t="s">
        <v>28</v>
      </c>
      <c r="G36" s="7" t="s">
        <v>82</v>
      </c>
      <c r="H36" s="7"/>
      <c r="I36" s="7"/>
      <c r="J36" s="7"/>
      <c r="K36" s="7" t="s">
        <v>699</v>
      </c>
      <c r="L36" s="7" t="s">
        <v>678</v>
      </c>
      <c r="M36" s="7" t="s">
        <v>552</v>
      </c>
      <c r="N36" s="81">
        <f>(1107000+57000)/1000</f>
        <v>1164</v>
      </c>
      <c r="O36" s="81">
        <f>(1107000+57000)/1000</f>
        <v>1164</v>
      </c>
      <c r="P36" s="81">
        <f>3175114.6/1000</f>
        <v>3175.1146</v>
      </c>
      <c r="Q36" s="81">
        <f>4578.6+1000</f>
        <v>5578.6</v>
      </c>
      <c r="R36" s="82">
        <f>4848.7+1059</f>
        <v>5907.7</v>
      </c>
      <c r="S36" s="82">
        <f>5100.9+1114.2</f>
        <v>6215.099999999999</v>
      </c>
    </row>
    <row r="37" spans="1:19" s="6" customFormat="1" ht="158.25" customHeight="1">
      <c r="A37" s="65"/>
      <c r="B37" s="11" t="s">
        <v>258</v>
      </c>
      <c r="C37" s="18"/>
      <c r="D37" s="73" t="s">
        <v>507</v>
      </c>
      <c r="E37" s="7" t="s">
        <v>728</v>
      </c>
      <c r="F37" s="7" t="s">
        <v>729</v>
      </c>
      <c r="G37" s="7" t="s">
        <v>80</v>
      </c>
      <c r="H37" s="7"/>
      <c r="I37" s="7"/>
      <c r="J37" s="7"/>
      <c r="K37" s="7" t="s">
        <v>528</v>
      </c>
      <c r="L37" s="7" t="s">
        <v>421</v>
      </c>
      <c r="M37" s="7" t="s">
        <v>434</v>
      </c>
      <c r="N37" s="81">
        <f>77900/1000</f>
        <v>77.9</v>
      </c>
      <c r="O37" s="81">
        <f>77900/1000</f>
        <v>77.9</v>
      </c>
      <c r="P37" s="81">
        <f>19600/1000</f>
        <v>19.6</v>
      </c>
      <c r="Q37" s="81">
        <v>0</v>
      </c>
      <c r="R37" s="82">
        <v>0</v>
      </c>
      <c r="S37" s="82">
        <v>1</v>
      </c>
    </row>
    <row r="38" spans="1:19" s="2" customFormat="1" ht="24" customHeight="1">
      <c r="A38" s="65" t="s">
        <v>474</v>
      </c>
      <c r="B38" s="20" t="s">
        <v>475</v>
      </c>
      <c r="C38" s="18"/>
      <c r="D38" s="73"/>
      <c r="E38" s="7"/>
      <c r="F38" s="7"/>
      <c r="G38" s="7"/>
      <c r="H38" s="7"/>
      <c r="I38" s="7"/>
      <c r="J38" s="7"/>
      <c r="K38" s="7"/>
      <c r="L38" s="7"/>
      <c r="M38" s="7"/>
      <c r="N38" s="80">
        <f>SUM(N39:N43)</f>
        <v>8557.6</v>
      </c>
      <c r="O38" s="80">
        <f>SUM(O39:O43)</f>
        <v>8402.07002</v>
      </c>
      <c r="P38" s="80">
        <f>SUM(P39:P43)</f>
        <v>380.2</v>
      </c>
      <c r="Q38" s="80">
        <f>SUM(Q39:Q43)</f>
        <v>0</v>
      </c>
      <c r="R38" s="80">
        <f>SUM(R39:R43)</f>
        <v>0</v>
      </c>
      <c r="S38" s="80">
        <f>SUM(S39:S43)</f>
        <v>0</v>
      </c>
    </row>
    <row r="39" spans="1:19" s="3" customFormat="1" ht="75" customHeight="1">
      <c r="A39" s="67"/>
      <c r="B39" s="157" t="s">
        <v>522</v>
      </c>
      <c r="C39" s="12"/>
      <c r="D39" s="74" t="s">
        <v>35</v>
      </c>
      <c r="E39" s="151" t="s">
        <v>81</v>
      </c>
      <c r="F39" s="151" t="s">
        <v>28</v>
      </c>
      <c r="G39" s="151" t="s">
        <v>82</v>
      </c>
      <c r="H39" s="151" t="s">
        <v>730</v>
      </c>
      <c r="I39" s="151" t="s">
        <v>731</v>
      </c>
      <c r="J39" s="151" t="s">
        <v>732</v>
      </c>
      <c r="K39" s="39" t="s">
        <v>867</v>
      </c>
      <c r="L39" s="39" t="s">
        <v>1161</v>
      </c>
      <c r="M39" s="39" t="s">
        <v>868</v>
      </c>
      <c r="N39" s="83">
        <f>341300/1000</f>
        <v>341.3</v>
      </c>
      <c r="O39" s="83">
        <f>231393.16/1000</f>
        <v>231.39316</v>
      </c>
      <c r="P39" s="88">
        <f>318200/1000</f>
        <v>318.2</v>
      </c>
      <c r="Q39" s="88">
        <v>0</v>
      </c>
      <c r="R39" s="88">
        <v>0</v>
      </c>
      <c r="S39" s="88">
        <v>0</v>
      </c>
    </row>
    <row r="40" spans="1:19" s="3" customFormat="1" ht="87.75" customHeight="1">
      <c r="A40" s="69"/>
      <c r="B40" s="159"/>
      <c r="C40" s="12"/>
      <c r="D40" s="77" t="s">
        <v>246</v>
      </c>
      <c r="E40" s="153"/>
      <c r="F40" s="153"/>
      <c r="G40" s="153"/>
      <c r="H40" s="153"/>
      <c r="I40" s="153"/>
      <c r="J40" s="153"/>
      <c r="K40" s="41" t="s">
        <v>1160</v>
      </c>
      <c r="L40" s="41" t="s">
        <v>421</v>
      </c>
      <c r="M40" s="41" t="s">
        <v>1162</v>
      </c>
      <c r="N40" s="89">
        <f>90300/1000</f>
        <v>90.3</v>
      </c>
      <c r="O40" s="89">
        <f>44680.96/1000</f>
        <v>44.68096</v>
      </c>
      <c r="P40" s="90">
        <f>62000/1000</f>
        <v>62</v>
      </c>
      <c r="Q40" s="90">
        <v>0</v>
      </c>
      <c r="R40" s="90">
        <v>0</v>
      </c>
      <c r="S40" s="90">
        <v>0</v>
      </c>
    </row>
    <row r="41" spans="1:19" s="3" customFormat="1" ht="137.25" customHeight="1">
      <c r="A41" s="66"/>
      <c r="B41" s="11" t="s">
        <v>113</v>
      </c>
      <c r="C41" s="12"/>
      <c r="D41" s="73" t="s">
        <v>496</v>
      </c>
      <c r="E41" s="7" t="s">
        <v>81</v>
      </c>
      <c r="F41" s="7" t="s">
        <v>28</v>
      </c>
      <c r="G41" s="7" t="s">
        <v>82</v>
      </c>
      <c r="H41" s="7"/>
      <c r="I41" s="7"/>
      <c r="J41" s="7"/>
      <c r="K41" s="7" t="s">
        <v>194</v>
      </c>
      <c r="L41" s="7" t="s">
        <v>195</v>
      </c>
      <c r="M41" s="7" t="s">
        <v>440</v>
      </c>
      <c r="N41" s="81">
        <f>1100000/1000</f>
        <v>1100</v>
      </c>
      <c r="O41" s="81">
        <f>1099995.9/1000</f>
        <v>1099.9959</v>
      </c>
      <c r="P41" s="81">
        <v>0</v>
      </c>
      <c r="Q41" s="81">
        <v>0</v>
      </c>
      <c r="R41" s="85">
        <v>0</v>
      </c>
      <c r="S41" s="85">
        <v>0</v>
      </c>
    </row>
    <row r="42" spans="1:19" s="5" customFormat="1" ht="60.75" customHeight="1">
      <c r="A42" s="70"/>
      <c r="B42" s="13" t="s">
        <v>471</v>
      </c>
      <c r="C42" s="14"/>
      <c r="D42" s="73" t="s">
        <v>496</v>
      </c>
      <c r="E42" s="7" t="s">
        <v>81</v>
      </c>
      <c r="F42" s="7" t="s">
        <v>28</v>
      </c>
      <c r="G42" s="7" t="s">
        <v>82</v>
      </c>
      <c r="H42" s="7" t="s">
        <v>733</v>
      </c>
      <c r="I42" s="7" t="s">
        <v>421</v>
      </c>
      <c r="J42" s="7" t="s">
        <v>734</v>
      </c>
      <c r="K42" s="7" t="s">
        <v>21</v>
      </c>
      <c r="L42" s="7" t="s">
        <v>421</v>
      </c>
      <c r="M42" s="7" t="s">
        <v>562</v>
      </c>
      <c r="N42" s="81">
        <f>3000000/1000</f>
        <v>3000</v>
      </c>
      <c r="O42" s="81">
        <f>3000000/1000</f>
        <v>3000</v>
      </c>
      <c r="P42" s="81">
        <v>0</v>
      </c>
      <c r="Q42" s="81">
        <v>0</v>
      </c>
      <c r="R42" s="81">
        <v>0</v>
      </c>
      <c r="S42" s="81">
        <v>0</v>
      </c>
    </row>
    <row r="43" spans="1:19" s="3" customFormat="1" ht="61.5" customHeight="1">
      <c r="A43" s="66"/>
      <c r="B43" s="11" t="s">
        <v>20</v>
      </c>
      <c r="C43" s="12"/>
      <c r="D43" s="73" t="s">
        <v>496</v>
      </c>
      <c r="E43" s="7" t="s">
        <v>81</v>
      </c>
      <c r="F43" s="7" t="s">
        <v>28</v>
      </c>
      <c r="G43" s="7" t="s">
        <v>82</v>
      </c>
      <c r="H43" s="7"/>
      <c r="I43" s="7"/>
      <c r="J43" s="7"/>
      <c r="K43" s="7" t="s">
        <v>21</v>
      </c>
      <c r="L43" s="7" t="s">
        <v>421</v>
      </c>
      <c r="M43" s="7" t="s">
        <v>22</v>
      </c>
      <c r="N43" s="81">
        <f>4026000/1000</f>
        <v>4026</v>
      </c>
      <c r="O43" s="81">
        <f>4026000/1000</f>
        <v>4026</v>
      </c>
      <c r="P43" s="81">
        <v>0</v>
      </c>
      <c r="Q43" s="81">
        <v>0</v>
      </c>
      <c r="R43" s="85">
        <v>0</v>
      </c>
      <c r="S43" s="85">
        <v>0</v>
      </c>
    </row>
    <row r="44" spans="1:19" s="2" customFormat="1" ht="47.25" customHeight="1">
      <c r="A44" s="65" t="s">
        <v>224</v>
      </c>
      <c r="B44" s="20" t="s">
        <v>337</v>
      </c>
      <c r="C44" s="18"/>
      <c r="D44" s="73"/>
      <c r="E44" s="7"/>
      <c r="F44" s="7"/>
      <c r="G44" s="7"/>
      <c r="H44" s="7"/>
      <c r="I44" s="7"/>
      <c r="J44" s="7"/>
      <c r="K44" s="7"/>
      <c r="L44" s="7"/>
      <c r="M44" s="7"/>
      <c r="N44" s="80">
        <f>SUM(N45:N45)</f>
        <v>2360.8321</v>
      </c>
      <c r="O44" s="80">
        <f>SUM(O45:O45)</f>
        <v>2226.47106</v>
      </c>
      <c r="P44" s="80">
        <f>SUM(P45:P47)</f>
        <v>3285.58677</v>
      </c>
      <c r="Q44" s="80">
        <f>SUM(Q45:Q45)</f>
        <v>2731</v>
      </c>
      <c r="R44" s="80">
        <f>SUM(R45:R45)</f>
        <v>2892.1</v>
      </c>
      <c r="S44" s="80">
        <f>SUM(S45:S45)</f>
        <v>3042.5</v>
      </c>
    </row>
    <row r="45" spans="1:19" s="3" customFormat="1" ht="101.25" customHeight="1">
      <c r="A45" s="163"/>
      <c r="B45" s="157" t="s">
        <v>553</v>
      </c>
      <c r="C45" s="12"/>
      <c r="D45" s="166" t="s">
        <v>424</v>
      </c>
      <c r="E45" s="151" t="s">
        <v>81</v>
      </c>
      <c r="F45" s="151" t="s">
        <v>165</v>
      </c>
      <c r="G45" s="151" t="s">
        <v>82</v>
      </c>
      <c r="H45" s="151" t="s">
        <v>730</v>
      </c>
      <c r="I45" s="151" t="s">
        <v>731</v>
      </c>
      <c r="J45" s="151" t="s">
        <v>732</v>
      </c>
      <c r="K45" s="39" t="s">
        <v>700</v>
      </c>
      <c r="L45" s="39" t="s">
        <v>701</v>
      </c>
      <c r="M45" s="39" t="s">
        <v>702</v>
      </c>
      <c r="N45" s="148">
        <f>2360832.1/1000</f>
        <v>2360.8321</v>
      </c>
      <c r="O45" s="148">
        <f>2226471.06/1000</f>
        <v>2226.47106</v>
      </c>
      <c r="P45" s="148">
        <f>2186307.77/1000</f>
        <v>2186.30777</v>
      </c>
      <c r="Q45" s="148">
        <v>2731</v>
      </c>
      <c r="R45" s="178">
        <v>2892.1</v>
      </c>
      <c r="S45" s="178">
        <v>3042.5</v>
      </c>
    </row>
    <row r="46" spans="1:19" s="3" customFormat="1" ht="123.75" customHeight="1">
      <c r="A46" s="165"/>
      <c r="B46" s="159"/>
      <c r="C46" s="12"/>
      <c r="D46" s="168"/>
      <c r="E46" s="153"/>
      <c r="F46" s="153"/>
      <c r="G46" s="153"/>
      <c r="H46" s="153"/>
      <c r="I46" s="153"/>
      <c r="J46" s="153"/>
      <c r="K46" s="41" t="s">
        <v>890</v>
      </c>
      <c r="L46" s="41" t="s">
        <v>421</v>
      </c>
      <c r="M46" s="41" t="s">
        <v>703</v>
      </c>
      <c r="N46" s="150"/>
      <c r="O46" s="150"/>
      <c r="P46" s="150"/>
      <c r="Q46" s="150"/>
      <c r="R46" s="179"/>
      <c r="S46" s="179"/>
    </row>
    <row r="47" spans="1:19" s="3" customFormat="1" ht="135.75" customHeight="1">
      <c r="A47" s="69"/>
      <c r="B47" s="54" t="s">
        <v>949</v>
      </c>
      <c r="C47" s="12"/>
      <c r="D47" s="77" t="s">
        <v>424</v>
      </c>
      <c r="E47" s="7" t="s">
        <v>81</v>
      </c>
      <c r="F47" s="7" t="s">
        <v>28</v>
      </c>
      <c r="G47" s="7" t="s">
        <v>82</v>
      </c>
      <c r="H47" s="41" t="s">
        <v>1012</v>
      </c>
      <c r="I47" s="41" t="s">
        <v>135</v>
      </c>
      <c r="J47" s="41" t="s">
        <v>1009</v>
      </c>
      <c r="K47" s="41" t="s">
        <v>1143</v>
      </c>
      <c r="L47" s="41" t="s">
        <v>135</v>
      </c>
      <c r="M47" s="41" t="s">
        <v>1142</v>
      </c>
      <c r="N47" s="89">
        <v>0</v>
      </c>
      <c r="O47" s="89">
        <v>0</v>
      </c>
      <c r="P47" s="89">
        <f>1099279/1000</f>
        <v>1099.279</v>
      </c>
      <c r="Q47" s="89">
        <v>0</v>
      </c>
      <c r="R47" s="91">
        <v>0</v>
      </c>
      <c r="S47" s="91">
        <v>0</v>
      </c>
    </row>
    <row r="48" spans="1:19" s="2" customFormat="1" ht="48.75" customHeight="1">
      <c r="A48" s="65" t="s">
        <v>420</v>
      </c>
      <c r="B48" s="20" t="s">
        <v>267</v>
      </c>
      <c r="C48" s="18"/>
      <c r="D48" s="73"/>
      <c r="E48" s="7"/>
      <c r="F48" s="7"/>
      <c r="G48" s="7"/>
      <c r="H48" s="7"/>
      <c r="I48" s="7"/>
      <c r="J48" s="7"/>
      <c r="K48" s="7"/>
      <c r="L48" s="7"/>
      <c r="M48" s="7"/>
      <c r="N48" s="80">
        <f>SUM(N49:N52)</f>
        <v>472.26899</v>
      </c>
      <c r="O48" s="80">
        <f>SUM(O49:O52)</f>
        <v>472.26899</v>
      </c>
      <c r="P48" s="80">
        <f>SUM(P49:P52)</f>
        <v>1054.38924</v>
      </c>
      <c r="Q48" s="80">
        <f>SUM(Q49:Q52)</f>
        <v>1226.3</v>
      </c>
      <c r="R48" s="80">
        <f>SUM(R49:R52)</f>
        <v>1298.7</v>
      </c>
      <c r="S48" s="80">
        <f>SUM(S49:S52)</f>
        <v>1366.1</v>
      </c>
    </row>
    <row r="49" spans="1:19" s="3" customFormat="1" ht="66" customHeight="1">
      <c r="A49" s="66"/>
      <c r="B49" s="11" t="s">
        <v>161</v>
      </c>
      <c r="C49" s="12"/>
      <c r="D49" s="73" t="s">
        <v>245</v>
      </c>
      <c r="E49" s="7" t="s">
        <v>81</v>
      </c>
      <c r="F49" s="7" t="s">
        <v>28</v>
      </c>
      <c r="G49" s="7" t="s">
        <v>82</v>
      </c>
      <c r="H49" s="7"/>
      <c r="I49" s="7"/>
      <c r="J49" s="7"/>
      <c r="K49" s="7" t="s">
        <v>554</v>
      </c>
      <c r="L49" s="7" t="s">
        <v>191</v>
      </c>
      <c r="M49" s="7" t="s">
        <v>23</v>
      </c>
      <c r="N49" s="81">
        <f>419387.25/1000</f>
        <v>419.38725</v>
      </c>
      <c r="O49" s="81">
        <f>419387.25/1000</f>
        <v>419.38725</v>
      </c>
      <c r="P49" s="81">
        <v>0</v>
      </c>
      <c r="Q49" s="81">
        <v>0</v>
      </c>
      <c r="R49" s="81">
        <v>0</v>
      </c>
      <c r="S49" s="81">
        <v>0</v>
      </c>
    </row>
    <row r="50" spans="1:19" s="3" customFormat="1" ht="48.75" customHeight="1">
      <c r="A50" s="163"/>
      <c r="B50" s="157" t="s">
        <v>704</v>
      </c>
      <c r="C50" s="12"/>
      <c r="D50" s="166" t="s">
        <v>245</v>
      </c>
      <c r="E50" s="151" t="s">
        <v>81</v>
      </c>
      <c r="F50" s="151" t="s">
        <v>28</v>
      </c>
      <c r="G50" s="151" t="s">
        <v>82</v>
      </c>
      <c r="H50" s="151"/>
      <c r="I50" s="151"/>
      <c r="J50" s="151"/>
      <c r="K50" s="39" t="s">
        <v>1163</v>
      </c>
      <c r="L50" s="50" t="s">
        <v>153</v>
      </c>
      <c r="M50" s="50" t="s">
        <v>705</v>
      </c>
      <c r="N50" s="148">
        <v>0</v>
      </c>
      <c r="O50" s="148">
        <v>0</v>
      </c>
      <c r="P50" s="148">
        <f>875162.24/1000</f>
        <v>875.16224</v>
      </c>
      <c r="Q50" s="148">
        <v>909.4</v>
      </c>
      <c r="R50" s="178">
        <v>963.1</v>
      </c>
      <c r="S50" s="178">
        <v>1013.1</v>
      </c>
    </row>
    <row r="51" spans="1:19" s="3" customFormat="1" ht="72.75" customHeight="1">
      <c r="A51" s="165"/>
      <c r="B51" s="159"/>
      <c r="C51" s="12"/>
      <c r="D51" s="168"/>
      <c r="E51" s="153"/>
      <c r="F51" s="153"/>
      <c r="G51" s="153"/>
      <c r="H51" s="153"/>
      <c r="I51" s="153"/>
      <c r="J51" s="153"/>
      <c r="K51" s="41" t="s">
        <v>1164</v>
      </c>
      <c r="L51" s="51" t="s">
        <v>421</v>
      </c>
      <c r="M51" s="51" t="s">
        <v>891</v>
      </c>
      <c r="N51" s="150"/>
      <c r="O51" s="150"/>
      <c r="P51" s="150"/>
      <c r="Q51" s="150"/>
      <c r="R51" s="179"/>
      <c r="S51" s="179"/>
    </row>
    <row r="52" spans="1:19" s="3" customFormat="1" ht="77.25" customHeight="1">
      <c r="A52" s="66"/>
      <c r="B52" s="11" t="s">
        <v>506</v>
      </c>
      <c r="C52" s="12"/>
      <c r="D52" s="73" t="s">
        <v>495</v>
      </c>
      <c r="E52" s="7" t="s">
        <v>81</v>
      </c>
      <c r="F52" s="7" t="s">
        <v>28</v>
      </c>
      <c r="G52" s="7" t="s">
        <v>82</v>
      </c>
      <c r="H52" s="7"/>
      <c r="I52" s="7"/>
      <c r="J52" s="7"/>
      <c r="K52" s="7" t="s">
        <v>574</v>
      </c>
      <c r="L52" s="7" t="s">
        <v>575</v>
      </c>
      <c r="M52" s="7" t="s">
        <v>576</v>
      </c>
      <c r="N52" s="81">
        <f>52881.74/1000</f>
        <v>52.88174</v>
      </c>
      <c r="O52" s="81">
        <f>52881.74/1000</f>
        <v>52.88174</v>
      </c>
      <c r="P52" s="81">
        <f>179227/1000</f>
        <v>179.227</v>
      </c>
      <c r="Q52" s="81">
        <v>316.9</v>
      </c>
      <c r="R52" s="82">
        <v>335.6</v>
      </c>
      <c r="S52" s="82">
        <v>353</v>
      </c>
    </row>
    <row r="53" spans="1:19" s="2" customFormat="1" ht="48.75" customHeight="1">
      <c r="A53" s="65" t="s">
        <v>231</v>
      </c>
      <c r="B53" s="20" t="s">
        <v>232</v>
      </c>
      <c r="C53" s="18"/>
      <c r="D53" s="73"/>
      <c r="E53" s="7"/>
      <c r="F53" s="7"/>
      <c r="G53" s="7"/>
      <c r="H53" s="7"/>
      <c r="I53" s="7"/>
      <c r="J53" s="7"/>
      <c r="K53" s="7"/>
      <c r="L53" s="7"/>
      <c r="M53" s="7"/>
      <c r="N53" s="81"/>
      <c r="O53" s="81"/>
      <c r="P53" s="87"/>
      <c r="Q53" s="87"/>
      <c r="R53" s="117"/>
      <c r="S53" s="117"/>
    </row>
    <row r="54" spans="1:19" s="6" customFormat="1" ht="48" customHeight="1">
      <c r="A54" s="65" t="s">
        <v>395</v>
      </c>
      <c r="B54" s="20" t="s">
        <v>314</v>
      </c>
      <c r="C54" s="18"/>
      <c r="D54" s="76"/>
      <c r="E54" s="98"/>
      <c r="F54" s="98"/>
      <c r="G54" s="98"/>
      <c r="H54" s="31"/>
      <c r="I54" s="31"/>
      <c r="J54" s="31"/>
      <c r="K54" s="31"/>
      <c r="L54" s="31"/>
      <c r="M54" s="31"/>
      <c r="N54" s="80">
        <f>SUM(N55:N67)</f>
        <v>8471.29883</v>
      </c>
      <c r="O54" s="80">
        <f>SUM(O55:O67)</f>
        <v>7306.43883</v>
      </c>
      <c r="P54" s="80">
        <f>SUM(P55:P67)</f>
        <v>9517.718</v>
      </c>
      <c r="Q54" s="80">
        <f>SUM(Q55:Q67)</f>
        <v>381.6</v>
      </c>
      <c r="R54" s="80">
        <f>SUM(R55:R67)</f>
        <v>404.20000000000005</v>
      </c>
      <c r="S54" s="80">
        <f>SUM(S55:S67)</f>
        <v>425.1</v>
      </c>
    </row>
    <row r="55" spans="1:19" s="6" customFormat="1" ht="84.75" customHeight="1">
      <c r="A55" s="65"/>
      <c r="B55" s="11" t="s">
        <v>305</v>
      </c>
      <c r="C55" s="18"/>
      <c r="D55" s="73" t="s">
        <v>248</v>
      </c>
      <c r="E55" s="98" t="s">
        <v>81</v>
      </c>
      <c r="F55" s="98" t="s">
        <v>97</v>
      </c>
      <c r="G55" s="98" t="s">
        <v>82</v>
      </c>
      <c r="H55" s="7" t="s">
        <v>741</v>
      </c>
      <c r="I55" s="7" t="s">
        <v>135</v>
      </c>
      <c r="J55" s="7" t="s">
        <v>742</v>
      </c>
      <c r="K55" s="7" t="s">
        <v>529</v>
      </c>
      <c r="L55" s="7" t="s">
        <v>30</v>
      </c>
      <c r="M55" s="7" t="s">
        <v>218</v>
      </c>
      <c r="N55" s="81">
        <f>3094612/1000</f>
        <v>3094.612</v>
      </c>
      <c r="O55" s="81">
        <f>3094612/1000</f>
        <v>3094.612</v>
      </c>
      <c r="P55" s="81">
        <v>0</v>
      </c>
      <c r="Q55" s="81">
        <v>0</v>
      </c>
      <c r="R55" s="81">
        <v>0</v>
      </c>
      <c r="S55" s="81">
        <v>0</v>
      </c>
    </row>
    <row r="56" spans="1:19" s="3" customFormat="1" ht="99.75" customHeight="1">
      <c r="A56" s="66"/>
      <c r="B56" s="11" t="s">
        <v>156</v>
      </c>
      <c r="C56" s="12"/>
      <c r="D56" s="73" t="s">
        <v>495</v>
      </c>
      <c r="E56" s="98" t="s">
        <v>81</v>
      </c>
      <c r="F56" s="98" t="s">
        <v>97</v>
      </c>
      <c r="G56" s="98" t="s">
        <v>82</v>
      </c>
      <c r="H56" s="7" t="s">
        <v>743</v>
      </c>
      <c r="I56" s="7" t="s">
        <v>744</v>
      </c>
      <c r="J56" s="7" t="s">
        <v>745</v>
      </c>
      <c r="K56" s="7" t="s">
        <v>17</v>
      </c>
      <c r="L56" s="7" t="s">
        <v>678</v>
      </c>
      <c r="M56" s="7" t="s">
        <v>552</v>
      </c>
      <c r="N56" s="81">
        <f>100283.53/1000</f>
        <v>100.28353</v>
      </c>
      <c r="O56" s="81">
        <f>100283.53/1000</f>
        <v>100.28353</v>
      </c>
      <c r="P56" s="81">
        <v>0</v>
      </c>
      <c r="Q56" s="81">
        <v>0</v>
      </c>
      <c r="R56" s="81">
        <v>0</v>
      </c>
      <c r="S56" s="81">
        <v>0</v>
      </c>
    </row>
    <row r="57" spans="1:19" s="3" customFormat="1" ht="74.25" customHeight="1">
      <c r="A57" s="66"/>
      <c r="B57" s="11" t="s">
        <v>442</v>
      </c>
      <c r="C57" s="12"/>
      <c r="D57" s="73" t="s">
        <v>248</v>
      </c>
      <c r="E57" s="98" t="s">
        <v>81</v>
      </c>
      <c r="F57" s="98" t="s">
        <v>97</v>
      </c>
      <c r="G57" s="98" t="s">
        <v>82</v>
      </c>
      <c r="H57" s="7" t="s">
        <v>743</v>
      </c>
      <c r="I57" s="7" t="s">
        <v>744</v>
      </c>
      <c r="J57" s="7" t="s">
        <v>745</v>
      </c>
      <c r="K57" s="7" t="s">
        <v>570</v>
      </c>
      <c r="L57" s="7" t="s">
        <v>571</v>
      </c>
      <c r="M57" s="7" t="s">
        <v>572</v>
      </c>
      <c r="N57" s="81">
        <f>734174.5/1000</f>
        <v>734.1745</v>
      </c>
      <c r="O57" s="81">
        <f>699314.5/1000</f>
        <v>699.3145</v>
      </c>
      <c r="P57" s="81">
        <f>332520/1000</f>
        <v>332.52</v>
      </c>
      <c r="Q57" s="81">
        <v>116.6</v>
      </c>
      <c r="R57" s="82">
        <v>123.5</v>
      </c>
      <c r="S57" s="82">
        <v>129.9</v>
      </c>
    </row>
    <row r="58" spans="1:19" s="3" customFormat="1" ht="88.5" customHeight="1">
      <c r="A58" s="66"/>
      <c r="B58" s="11" t="s">
        <v>443</v>
      </c>
      <c r="C58" s="12"/>
      <c r="D58" s="73" t="s">
        <v>248</v>
      </c>
      <c r="E58" s="7" t="s">
        <v>738</v>
      </c>
      <c r="F58" s="7" t="s">
        <v>739</v>
      </c>
      <c r="G58" s="7" t="s">
        <v>740</v>
      </c>
      <c r="H58" s="7" t="s">
        <v>748</v>
      </c>
      <c r="I58" s="7" t="s">
        <v>191</v>
      </c>
      <c r="J58" s="7" t="s">
        <v>749</v>
      </c>
      <c r="K58" s="7" t="s">
        <v>567</v>
      </c>
      <c r="L58" s="7" t="s">
        <v>568</v>
      </c>
      <c r="M58" s="7" t="s">
        <v>569</v>
      </c>
      <c r="N58" s="81">
        <f>49900/1000</f>
        <v>49.9</v>
      </c>
      <c r="O58" s="81">
        <f>49900/1000</f>
        <v>49.9</v>
      </c>
      <c r="P58" s="81">
        <f>100000/1000</f>
        <v>100</v>
      </c>
      <c r="Q58" s="81">
        <v>106</v>
      </c>
      <c r="R58" s="82">
        <v>112.3</v>
      </c>
      <c r="S58" s="82">
        <v>118.1</v>
      </c>
    </row>
    <row r="59" spans="1:19" s="3" customFormat="1" ht="110.25" customHeight="1">
      <c r="A59" s="66"/>
      <c r="B59" s="11" t="s">
        <v>526</v>
      </c>
      <c r="C59" s="12"/>
      <c r="D59" s="73" t="s">
        <v>495</v>
      </c>
      <c r="E59" s="98" t="s">
        <v>81</v>
      </c>
      <c r="F59" s="98" t="s">
        <v>97</v>
      </c>
      <c r="G59" s="98" t="s">
        <v>82</v>
      </c>
      <c r="H59" s="7" t="s">
        <v>743</v>
      </c>
      <c r="I59" s="7" t="s">
        <v>744</v>
      </c>
      <c r="J59" s="7" t="s">
        <v>745</v>
      </c>
      <c r="K59" s="7" t="s">
        <v>706</v>
      </c>
      <c r="L59" s="7" t="s">
        <v>678</v>
      </c>
      <c r="M59" s="10" t="s">
        <v>552</v>
      </c>
      <c r="N59" s="81">
        <v>0</v>
      </c>
      <c r="O59" s="81">
        <v>0</v>
      </c>
      <c r="P59" s="81">
        <f>335873/1000</f>
        <v>335.873</v>
      </c>
      <c r="Q59" s="81">
        <v>159</v>
      </c>
      <c r="R59" s="82">
        <v>168.4</v>
      </c>
      <c r="S59" s="82">
        <v>177.1</v>
      </c>
    </row>
    <row r="60" spans="1:19" s="3" customFormat="1" ht="97.5" customHeight="1">
      <c r="A60" s="163"/>
      <c r="B60" s="157" t="s">
        <v>590</v>
      </c>
      <c r="C60" s="37"/>
      <c r="D60" s="166" t="s">
        <v>248</v>
      </c>
      <c r="E60" s="180" t="s">
        <v>81</v>
      </c>
      <c r="F60" s="180" t="s">
        <v>97</v>
      </c>
      <c r="G60" s="180" t="s">
        <v>82</v>
      </c>
      <c r="H60" s="151" t="s">
        <v>750</v>
      </c>
      <c r="I60" s="151" t="s">
        <v>153</v>
      </c>
      <c r="J60" s="151" t="s">
        <v>751</v>
      </c>
      <c r="K60" s="39" t="s">
        <v>581</v>
      </c>
      <c r="L60" s="50" t="s">
        <v>135</v>
      </c>
      <c r="M60" s="50" t="s">
        <v>1171</v>
      </c>
      <c r="N60" s="148">
        <f>1130000/1000</f>
        <v>1130</v>
      </c>
      <c r="O60" s="148">
        <v>0</v>
      </c>
      <c r="P60" s="148">
        <f>1130000/1000</f>
        <v>1130</v>
      </c>
      <c r="Q60" s="148">
        <v>0</v>
      </c>
      <c r="R60" s="178">
        <v>0</v>
      </c>
      <c r="S60" s="178">
        <v>0</v>
      </c>
    </row>
    <row r="61" spans="1:19" s="3" customFormat="1" ht="109.5" customHeight="1">
      <c r="A61" s="165"/>
      <c r="B61" s="159"/>
      <c r="C61" s="37"/>
      <c r="D61" s="168"/>
      <c r="E61" s="181"/>
      <c r="F61" s="181"/>
      <c r="G61" s="181"/>
      <c r="H61" s="153"/>
      <c r="I61" s="153"/>
      <c r="J61" s="153"/>
      <c r="K61" s="51" t="s">
        <v>681</v>
      </c>
      <c r="L61" s="51" t="s">
        <v>153</v>
      </c>
      <c r="M61" s="51" t="s">
        <v>682</v>
      </c>
      <c r="N61" s="150"/>
      <c r="O61" s="150"/>
      <c r="P61" s="150"/>
      <c r="Q61" s="150"/>
      <c r="R61" s="179"/>
      <c r="S61" s="179"/>
    </row>
    <row r="62" spans="1:19" s="3" customFormat="1" ht="97.5" customHeight="1">
      <c r="A62" s="163"/>
      <c r="B62" s="185" t="s">
        <v>587</v>
      </c>
      <c r="C62" s="160"/>
      <c r="D62" s="189" t="s">
        <v>248</v>
      </c>
      <c r="E62" s="180" t="s">
        <v>81</v>
      </c>
      <c r="F62" s="180" t="s">
        <v>97</v>
      </c>
      <c r="G62" s="180" t="s">
        <v>82</v>
      </c>
      <c r="H62" s="151" t="s">
        <v>752</v>
      </c>
      <c r="I62" s="151" t="s">
        <v>153</v>
      </c>
      <c r="J62" s="151" t="s">
        <v>753</v>
      </c>
      <c r="K62" s="50" t="s">
        <v>581</v>
      </c>
      <c r="L62" s="50" t="s">
        <v>135</v>
      </c>
      <c r="M62" s="50" t="s">
        <v>1171</v>
      </c>
      <c r="N62" s="148">
        <f>6028.8/1000</f>
        <v>6.0288</v>
      </c>
      <c r="O62" s="148">
        <f>6028.8/1000</f>
        <v>6.0288</v>
      </c>
      <c r="P62" s="148">
        <v>0</v>
      </c>
      <c r="Q62" s="148">
        <v>0</v>
      </c>
      <c r="R62" s="178">
        <v>0</v>
      </c>
      <c r="S62" s="178">
        <v>0</v>
      </c>
    </row>
    <row r="63" spans="1:19" s="3" customFormat="1" ht="137.25" customHeight="1">
      <c r="A63" s="165"/>
      <c r="B63" s="186"/>
      <c r="C63" s="162"/>
      <c r="D63" s="190"/>
      <c r="E63" s="181"/>
      <c r="F63" s="181"/>
      <c r="G63" s="181"/>
      <c r="H63" s="153"/>
      <c r="I63" s="153"/>
      <c r="J63" s="153"/>
      <c r="K63" s="51" t="s">
        <v>588</v>
      </c>
      <c r="L63" s="51" t="s">
        <v>30</v>
      </c>
      <c r="M63" s="51" t="s">
        <v>589</v>
      </c>
      <c r="N63" s="150"/>
      <c r="O63" s="150"/>
      <c r="P63" s="150"/>
      <c r="Q63" s="150"/>
      <c r="R63" s="179"/>
      <c r="S63" s="179"/>
    </row>
    <row r="64" spans="1:19" s="3" customFormat="1" ht="111" customHeight="1">
      <c r="A64" s="66"/>
      <c r="B64" s="108" t="s">
        <v>950</v>
      </c>
      <c r="C64" s="102"/>
      <c r="D64" s="103" t="s">
        <v>248</v>
      </c>
      <c r="E64" s="98" t="s">
        <v>81</v>
      </c>
      <c r="F64" s="98" t="s">
        <v>97</v>
      </c>
      <c r="G64" s="98" t="s">
        <v>82</v>
      </c>
      <c r="H64" s="7" t="s">
        <v>1010</v>
      </c>
      <c r="I64" s="7" t="s">
        <v>421</v>
      </c>
      <c r="J64" s="7" t="s">
        <v>1011</v>
      </c>
      <c r="K64" s="59" t="s">
        <v>952</v>
      </c>
      <c r="L64" s="109" t="s">
        <v>953</v>
      </c>
      <c r="M64" s="59" t="s">
        <v>954</v>
      </c>
      <c r="N64" s="81">
        <v>0</v>
      </c>
      <c r="O64" s="81">
        <v>0</v>
      </c>
      <c r="P64" s="81">
        <f>273650/1000</f>
        <v>273.65</v>
      </c>
      <c r="Q64" s="81">
        <v>0</v>
      </c>
      <c r="R64" s="82">
        <v>0</v>
      </c>
      <c r="S64" s="82">
        <v>0</v>
      </c>
    </row>
    <row r="65" spans="1:19" s="3" customFormat="1" ht="103.5" customHeight="1">
      <c r="A65" s="66"/>
      <c r="B65" s="108" t="s">
        <v>951</v>
      </c>
      <c r="C65" s="102"/>
      <c r="D65" s="103" t="s">
        <v>248</v>
      </c>
      <c r="E65" s="98" t="s">
        <v>81</v>
      </c>
      <c r="F65" s="98" t="s">
        <v>97</v>
      </c>
      <c r="G65" s="98" t="s">
        <v>82</v>
      </c>
      <c r="H65" s="7" t="s">
        <v>1008</v>
      </c>
      <c r="I65" s="7" t="s">
        <v>421</v>
      </c>
      <c r="J65" s="7" t="s">
        <v>1009</v>
      </c>
      <c r="K65" s="52" t="s">
        <v>955</v>
      </c>
      <c r="L65" s="52" t="s">
        <v>714</v>
      </c>
      <c r="M65" s="52" t="s">
        <v>956</v>
      </c>
      <c r="N65" s="81">
        <v>0</v>
      </c>
      <c r="O65" s="81">
        <v>0</v>
      </c>
      <c r="P65" s="81">
        <f>7345675/1000</f>
        <v>7345.675</v>
      </c>
      <c r="Q65" s="81">
        <v>0</v>
      </c>
      <c r="R65" s="82">
        <v>0</v>
      </c>
      <c r="S65" s="82">
        <v>0</v>
      </c>
    </row>
    <row r="66" spans="1:19" s="3" customFormat="1" ht="50.25" customHeight="1">
      <c r="A66" s="163"/>
      <c r="B66" s="157" t="s">
        <v>580</v>
      </c>
      <c r="C66" s="37"/>
      <c r="D66" s="74" t="s">
        <v>248</v>
      </c>
      <c r="E66" s="151" t="s">
        <v>735</v>
      </c>
      <c r="F66" s="151" t="s">
        <v>736</v>
      </c>
      <c r="G66" s="151" t="s">
        <v>737</v>
      </c>
      <c r="H66" s="151" t="s">
        <v>754</v>
      </c>
      <c r="I66" s="151" t="s">
        <v>191</v>
      </c>
      <c r="J66" s="151" t="s">
        <v>755</v>
      </c>
      <c r="K66" s="151" t="s">
        <v>581</v>
      </c>
      <c r="L66" s="175" t="s">
        <v>135</v>
      </c>
      <c r="M66" s="175" t="s">
        <v>1171</v>
      </c>
      <c r="N66" s="83">
        <f>3173500/1000</f>
        <v>3173.5</v>
      </c>
      <c r="O66" s="83">
        <f>3173500/1000</f>
        <v>3173.5</v>
      </c>
      <c r="P66" s="83">
        <v>0</v>
      </c>
      <c r="Q66" s="83">
        <v>0</v>
      </c>
      <c r="R66" s="86">
        <v>0</v>
      </c>
      <c r="S66" s="86">
        <v>0</v>
      </c>
    </row>
    <row r="67" spans="1:19" s="3" customFormat="1" ht="50.25" customHeight="1">
      <c r="A67" s="165"/>
      <c r="B67" s="159"/>
      <c r="C67" s="38"/>
      <c r="D67" s="77" t="s">
        <v>35</v>
      </c>
      <c r="E67" s="153"/>
      <c r="F67" s="153"/>
      <c r="G67" s="153"/>
      <c r="H67" s="153"/>
      <c r="I67" s="153"/>
      <c r="J67" s="153"/>
      <c r="K67" s="153"/>
      <c r="L67" s="176"/>
      <c r="M67" s="176"/>
      <c r="N67" s="89">
        <f>182800/1000</f>
        <v>182.8</v>
      </c>
      <c r="O67" s="89">
        <f>182800/1000</f>
        <v>182.8</v>
      </c>
      <c r="P67" s="89">
        <v>0</v>
      </c>
      <c r="Q67" s="89">
        <v>0</v>
      </c>
      <c r="R67" s="91">
        <v>0</v>
      </c>
      <c r="S67" s="91">
        <v>0</v>
      </c>
    </row>
    <row r="68" spans="1:19" s="2" customFormat="1" ht="36" customHeight="1">
      <c r="A68" s="65" t="s">
        <v>481</v>
      </c>
      <c r="B68" s="20" t="s">
        <v>482</v>
      </c>
      <c r="C68" s="18"/>
      <c r="D68" s="73"/>
      <c r="E68" s="7"/>
      <c r="F68" s="7"/>
      <c r="G68" s="7"/>
      <c r="H68" s="7"/>
      <c r="I68" s="7"/>
      <c r="J68" s="7"/>
      <c r="K68" s="7"/>
      <c r="L68" s="7"/>
      <c r="M68" s="7"/>
      <c r="N68" s="81"/>
      <c r="O68" s="81"/>
      <c r="P68" s="81"/>
      <c r="Q68" s="87"/>
      <c r="R68" s="117"/>
      <c r="S68" s="117"/>
    </row>
    <row r="69" spans="1:19" s="2" customFormat="1" ht="36" customHeight="1">
      <c r="A69" s="65" t="s">
        <v>394</v>
      </c>
      <c r="B69" s="20" t="s">
        <v>166</v>
      </c>
      <c r="C69" s="18"/>
      <c r="D69" s="73"/>
      <c r="E69" s="7"/>
      <c r="F69" s="7"/>
      <c r="G69" s="7"/>
      <c r="H69" s="7"/>
      <c r="I69" s="7"/>
      <c r="J69" s="7"/>
      <c r="K69" s="7"/>
      <c r="L69" s="7"/>
      <c r="M69" s="7"/>
      <c r="N69" s="81"/>
      <c r="O69" s="81"/>
      <c r="P69" s="81"/>
      <c r="Q69" s="87"/>
      <c r="R69" s="117"/>
      <c r="S69" s="117"/>
    </row>
    <row r="70" spans="1:19" s="2" customFormat="1" ht="107.25" customHeight="1">
      <c r="A70" s="65" t="s">
        <v>174</v>
      </c>
      <c r="B70" s="20" t="s">
        <v>129</v>
      </c>
      <c r="C70" s="18"/>
      <c r="D70" s="73"/>
      <c r="E70" s="7"/>
      <c r="F70" s="7"/>
      <c r="G70" s="7"/>
      <c r="H70" s="7"/>
      <c r="I70" s="7"/>
      <c r="J70" s="7"/>
      <c r="K70" s="7"/>
      <c r="L70" s="7"/>
      <c r="M70" s="7"/>
      <c r="N70" s="80">
        <f>SUM(N71:N101)</f>
        <v>203832.44061000002</v>
      </c>
      <c r="O70" s="80">
        <f>SUM(O71:O101)</f>
        <v>203783.22441000002</v>
      </c>
      <c r="P70" s="80">
        <f>SUM(P71:P123)</f>
        <v>253661.52669</v>
      </c>
      <c r="Q70" s="80">
        <f>SUM(Q71:Q102)</f>
        <v>206389.9</v>
      </c>
      <c r="R70" s="80">
        <f>SUM(R71:R102)</f>
        <v>214050.69999999998</v>
      </c>
      <c r="S70" s="80">
        <f>SUM(S71:S102)</f>
        <v>229229.90000000002</v>
      </c>
    </row>
    <row r="71" spans="1:19" s="3" customFormat="1" ht="86.25" customHeight="1">
      <c r="A71" s="188"/>
      <c r="B71" s="187" t="s">
        <v>375</v>
      </c>
      <c r="C71" s="195"/>
      <c r="D71" s="191" t="s">
        <v>376</v>
      </c>
      <c r="E71" s="39" t="s">
        <v>81</v>
      </c>
      <c r="F71" s="39" t="s">
        <v>97</v>
      </c>
      <c r="G71" s="39" t="s">
        <v>82</v>
      </c>
      <c r="H71" s="177" t="s">
        <v>303</v>
      </c>
      <c r="I71" s="177" t="s">
        <v>313</v>
      </c>
      <c r="J71" s="177" t="s">
        <v>379</v>
      </c>
      <c r="K71" s="39" t="s">
        <v>1165</v>
      </c>
      <c r="L71" s="39" t="s">
        <v>276</v>
      </c>
      <c r="M71" s="39" t="s">
        <v>80</v>
      </c>
      <c r="N71" s="148">
        <f>(71141658.11+4355000+90000)/1000</f>
        <v>75586.65811</v>
      </c>
      <c r="O71" s="148">
        <f>(71113208.65+4355000+90000)/1000</f>
        <v>75558.20865</v>
      </c>
      <c r="P71" s="148">
        <f>95792397.34/1000</f>
        <v>95792.39734000001</v>
      </c>
      <c r="Q71" s="148">
        <f>102179.4+417.4</f>
        <v>102596.79999999999</v>
      </c>
      <c r="R71" s="178">
        <f>105860.7+442</f>
        <v>106302.7</v>
      </c>
      <c r="S71" s="178">
        <f>113674.3+465</f>
        <v>114139.3</v>
      </c>
    </row>
    <row r="72" spans="1:19" s="3" customFormat="1" ht="54.75" customHeight="1">
      <c r="A72" s="188"/>
      <c r="B72" s="187"/>
      <c r="C72" s="195"/>
      <c r="D72" s="191"/>
      <c r="E72" s="41" t="s">
        <v>456</v>
      </c>
      <c r="F72" s="41" t="s">
        <v>756</v>
      </c>
      <c r="G72" s="41" t="s">
        <v>458</v>
      </c>
      <c r="H72" s="177"/>
      <c r="I72" s="177"/>
      <c r="J72" s="177"/>
      <c r="K72" s="41" t="s">
        <v>269</v>
      </c>
      <c r="L72" s="44" t="s">
        <v>270</v>
      </c>
      <c r="M72" s="44" t="s">
        <v>63</v>
      </c>
      <c r="N72" s="150"/>
      <c r="O72" s="150"/>
      <c r="P72" s="150"/>
      <c r="Q72" s="150"/>
      <c r="R72" s="179"/>
      <c r="S72" s="179"/>
    </row>
    <row r="73" spans="1:19" s="3" customFormat="1" ht="43.5" customHeight="1">
      <c r="A73" s="188"/>
      <c r="B73" s="187" t="s">
        <v>241</v>
      </c>
      <c r="C73" s="195"/>
      <c r="D73" s="74" t="s">
        <v>376</v>
      </c>
      <c r="E73" s="177" t="s">
        <v>456</v>
      </c>
      <c r="F73" s="177" t="s">
        <v>271</v>
      </c>
      <c r="G73" s="177" t="s">
        <v>458</v>
      </c>
      <c r="H73" s="177" t="s">
        <v>303</v>
      </c>
      <c r="I73" s="177" t="s">
        <v>272</v>
      </c>
      <c r="J73" s="193" t="s">
        <v>273</v>
      </c>
      <c r="K73" s="177" t="s">
        <v>293</v>
      </c>
      <c r="L73" s="177" t="s">
        <v>274</v>
      </c>
      <c r="M73" s="177" t="s">
        <v>80</v>
      </c>
      <c r="N73" s="83">
        <f>206250/1000</f>
        <v>206.25</v>
      </c>
      <c r="O73" s="83">
        <f>206250/1000</f>
        <v>206.25</v>
      </c>
      <c r="P73" s="83">
        <f>190400/1000</f>
        <v>190.4</v>
      </c>
      <c r="Q73" s="83">
        <v>196.8</v>
      </c>
      <c r="R73" s="86">
        <v>196.8</v>
      </c>
      <c r="S73" s="86">
        <v>196.8</v>
      </c>
    </row>
    <row r="74" spans="1:19" s="3" customFormat="1" ht="43.5" customHeight="1">
      <c r="A74" s="188"/>
      <c r="B74" s="187"/>
      <c r="C74" s="195"/>
      <c r="D74" s="77" t="s">
        <v>35</v>
      </c>
      <c r="E74" s="177"/>
      <c r="F74" s="177"/>
      <c r="G74" s="177"/>
      <c r="H74" s="177"/>
      <c r="I74" s="177"/>
      <c r="J74" s="177"/>
      <c r="K74" s="177"/>
      <c r="L74" s="177"/>
      <c r="M74" s="177"/>
      <c r="N74" s="89">
        <f>116450/1000</f>
        <v>116.45</v>
      </c>
      <c r="O74" s="89">
        <f>116350/1000</f>
        <v>116.35</v>
      </c>
      <c r="P74" s="89">
        <f>112750/1000</f>
        <v>112.75</v>
      </c>
      <c r="Q74" s="89">
        <v>117</v>
      </c>
      <c r="R74" s="91">
        <v>117</v>
      </c>
      <c r="S74" s="91">
        <v>117</v>
      </c>
    </row>
    <row r="75" spans="1:19" s="3" customFormat="1" ht="85.5" customHeight="1">
      <c r="A75" s="203"/>
      <c r="B75" s="157" t="s">
        <v>186</v>
      </c>
      <c r="C75" s="12"/>
      <c r="D75" s="166" t="s">
        <v>35</v>
      </c>
      <c r="E75" s="39" t="s">
        <v>81</v>
      </c>
      <c r="F75" s="39" t="s">
        <v>97</v>
      </c>
      <c r="G75" s="39" t="s">
        <v>82</v>
      </c>
      <c r="H75" s="151" t="s">
        <v>303</v>
      </c>
      <c r="I75" s="151" t="s">
        <v>313</v>
      </c>
      <c r="J75" s="154" t="s">
        <v>273</v>
      </c>
      <c r="K75" s="39" t="s">
        <v>877</v>
      </c>
      <c r="L75" s="39" t="s">
        <v>153</v>
      </c>
      <c r="M75" s="39" t="s">
        <v>210</v>
      </c>
      <c r="N75" s="148">
        <f>(46454063.34+54293+83100+88000+219500)/1000</f>
        <v>46898.956340000004</v>
      </c>
      <c r="O75" s="148">
        <f>(46450238.57+54293+78740+88000+219500)/1000</f>
        <v>46890.77157</v>
      </c>
      <c r="P75" s="148">
        <f>46173521.39/1000</f>
        <v>46173.52139</v>
      </c>
      <c r="Q75" s="148">
        <f>45303.8+1737.7</f>
        <v>47041.5</v>
      </c>
      <c r="R75" s="178">
        <f>46898+1840.2</f>
        <v>48738.2</v>
      </c>
      <c r="S75" s="178">
        <f>50420.9+1935.9</f>
        <v>52356.8</v>
      </c>
    </row>
    <row r="76" spans="1:19" s="3" customFormat="1" ht="60" customHeight="1">
      <c r="A76" s="204"/>
      <c r="B76" s="159"/>
      <c r="C76" s="12"/>
      <c r="D76" s="168"/>
      <c r="E76" s="41" t="s">
        <v>456</v>
      </c>
      <c r="F76" s="41" t="s">
        <v>756</v>
      </c>
      <c r="G76" s="41" t="s">
        <v>458</v>
      </c>
      <c r="H76" s="153"/>
      <c r="I76" s="153"/>
      <c r="J76" s="156"/>
      <c r="K76" s="51" t="s">
        <v>683</v>
      </c>
      <c r="L76" s="51" t="s">
        <v>333</v>
      </c>
      <c r="M76" s="51" t="s">
        <v>684</v>
      </c>
      <c r="N76" s="150"/>
      <c r="O76" s="150"/>
      <c r="P76" s="150"/>
      <c r="Q76" s="150"/>
      <c r="R76" s="179"/>
      <c r="S76" s="179"/>
    </row>
    <row r="77" spans="1:19" s="3" customFormat="1" ht="63" customHeight="1">
      <c r="A77" s="66"/>
      <c r="B77" s="11" t="s">
        <v>523</v>
      </c>
      <c r="C77" s="12"/>
      <c r="D77" s="73" t="s">
        <v>35</v>
      </c>
      <c r="E77" s="7" t="s">
        <v>456</v>
      </c>
      <c r="F77" s="7" t="s">
        <v>457</v>
      </c>
      <c r="G77" s="7" t="s">
        <v>458</v>
      </c>
      <c r="H77" s="7" t="s">
        <v>303</v>
      </c>
      <c r="I77" s="7" t="s">
        <v>313</v>
      </c>
      <c r="J77" s="7" t="s">
        <v>273</v>
      </c>
      <c r="K77" s="7" t="s">
        <v>675</v>
      </c>
      <c r="L77" s="7" t="s">
        <v>5</v>
      </c>
      <c r="M77" s="7" t="s">
        <v>80</v>
      </c>
      <c r="N77" s="81">
        <f>1161127.84/1000</f>
        <v>1161.12784</v>
      </c>
      <c r="O77" s="81">
        <f>1161124.19/1000</f>
        <v>1161.12419</v>
      </c>
      <c r="P77" s="81">
        <f>1390306/1000</f>
        <v>1390.306</v>
      </c>
      <c r="Q77" s="81">
        <v>2042.4</v>
      </c>
      <c r="R77" s="82">
        <v>2162.9</v>
      </c>
      <c r="S77" s="82">
        <v>2275.4</v>
      </c>
    </row>
    <row r="78" spans="1:19" s="3" customFormat="1" ht="34.5" customHeight="1">
      <c r="A78" s="188"/>
      <c r="B78" s="187" t="s">
        <v>455</v>
      </c>
      <c r="C78" s="12"/>
      <c r="D78" s="74" t="s">
        <v>376</v>
      </c>
      <c r="E78" s="39" t="s">
        <v>456</v>
      </c>
      <c r="F78" s="39" t="s">
        <v>756</v>
      </c>
      <c r="G78" s="39" t="s">
        <v>458</v>
      </c>
      <c r="H78" s="151" t="s">
        <v>303</v>
      </c>
      <c r="I78" s="151" t="s">
        <v>313</v>
      </c>
      <c r="J78" s="151" t="s">
        <v>273</v>
      </c>
      <c r="K78" s="177" t="s">
        <v>699</v>
      </c>
      <c r="L78" s="151" t="s">
        <v>678</v>
      </c>
      <c r="M78" s="151" t="s">
        <v>552</v>
      </c>
      <c r="N78" s="83">
        <f>1505614.55/1000</f>
        <v>1505.61455</v>
      </c>
      <c r="O78" s="83">
        <f>1505614.55/1000</f>
        <v>1505.61455</v>
      </c>
      <c r="P78" s="88">
        <f>2712802.2/1000</f>
        <v>2712.8022</v>
      </c>
      <c r="Q78" s="83">
        <v>2000</v>
      </c>
      <c r="R78" s="86">
        <v>2118</v>
      </c>
      <c r="S78" s="86">
        <v>2228.1</v>
      </c>
    </row>
    <row r="79" spans="1:19" s="3" customFormat="1" ht="31.5" customHeight="1">
      <c r="A79" s="188"/>
      <c r="B79" s="187"/>
      <c r="C79" s="12"/>
      <c r="D79" s="75" t="s">
        <v>35</v>
      </c>
      <c r="E79" s="152" t="s">
        <v>81</v>
      </c>
      <c r="F79" s="152" t="s">
        <v>97</v>
      </c>
      <c r="G79" s="152" t="s">
        <v>82</v>
      </c>
      <c r="H79" s="152"/>
      <c r="I79" s="152"/>
      <c r="J79" s="152"/>
      <c r="K79" s="177"/>
      <c r="L79" s="152"/>
      <c r="M79" s="152"/>
      <c r="N79" s="84">
        <f>8688548.3/1000</f>
        <v>8688.5483</v>
      </c>
      <c r="O79" s="84">
        <f>8688519.42/1000</f>
        <v>8688.51942</v>
      </c>
      <c r="P79" s="92">
        <f>4754628.8/1000</f>
        <v>4754.6287999999995</v>
      </c>
      <c r="Q79" s="84">
        <v>1665</v>
      </c>
      <c r="R79" s="99">
        <v>1763.2</v>
      </c>
      <c r="S79" s="99">
        <v>1854.9</v>
      </c>
    </row>
    <row r="80" spans="1:19" s="3" customFormat="1" ht="31.5" customHeight="1">
      <c r="A80" s="188"/>
      <c r="B80" s="187"/>
      <c r="C80" s="12"/>
      <c r="D80" s="77" t="s">
        <v>35</v>
      </c>
      <c r="E80" s="153"/>
      <c r="F80" s="153"/>
      <c r="G80" s="153"/>
      <c r="H80" s="153"/>
      <c r="I80" s="153"/>
      <c r="J80" s="153"/>
      <c r="K80" s="177"/>
      <c r="L80" s="153"/>
      <c r="M80" s="153"/>
      <c r="N80" s="89">
        <f>577798.86/1000</f>
        <v>577.79886</v>
      </c>
      <c r="O80" s="89">
        <f>577798.86/1000</f>
        <v>577.79886</v>
      </c>
      <c r="P80" s="90">
        <f>450000/1000</f>
        <v>450</v>
      </c>
      <c r="Q80" s="89">
        <v>335</v>
      </c>
      <c r="R80" s="91">
        <v>354.8</v>
      </c>
      <c r="S80" s="91">
        <v>373.2</v>
      </c>
    </row>
    <row r="81" spans="1:19" s="3" customFormat="1" ht="50.25" customHeight="1">
      <c r="A81" s="66"/>
      <c r="B81" s="11" t="s">
        <v>435</v>
      </c>
      <c r="C81" s="12"/>
      <c r="D81" s="73" t="s">
        <v>35</v>
      </c>
      <c r="E81" s="39" t="s">
        <v>456</v>
      </c>
      <c r="F81" s="39" t="s">
        <v>757</v>
      </c>
      <c r="G81" s="39" t="s">
        <v>458</v>
      </c>
      <c r="H81" s="7"/>
      <c r="I81" s="7"/>
      <c r="J81" s="7"/>
      <c r="K81" s="7" t="s">
        <v>321</v>
      </c>
      <c r="L81" s="7" t="s">
        <v>421</v>
      </c>
      <c r="M81" s="7" t="s">
        <v>322</v>
      </c>
      <c r="N81" s="81">
        <v>0</v>
      </c>
      <c r="O81" s="81">
        <v>0</v>
      </c>
      <c r="P81" s="81">
        <v>0</v>
      </c>
      <c r="Q81" s="81">
        <v>9</v>
      </c>
      <c r="R81" s="82">
        <v>9</v>
      </c>
      <c r="S81" s="82">
        <v>9</v>
      </c>
    </row>
    <row r="82" spans="1:19" s="3" customFormat="1" ht="85.5" customHeight="1">
      <c r="A82" s="66"/>
      <c r="B82" s="11" t="s">
        <v>416</v>
      </c>
      <c r="C82" s="12"/>
      <c r="D82" s="73" t="s">
        <v>35</v>
      </c>
      <c r="E82" s="39" t="s">
        <v>456</v>
      </c>
      <c r="F82" s="39" t="s">
        <v>757</v>
      </c>
      <c r="G82" s="39" t="s">
        <v>458</v>
      </c>
      <c r="H82" s="7"/>
      <c r="I82" s="7"/>
      <c r="J82" s="7"/>
      <c r="K82" s="7" t="s">
        <v>1166</v>
      </c>
      <c r="L82" s="7" t="s">
        <v>421</v>
      </c>
      <c r="M82" s="7" t="s">
        <v>302</v>
      </c>
      <c r="N82" s="81">
        <f>96215/1000</f>
        <v>96.215</v>
      </c>
      <c r="O82" s="81">
        <f>96215/1000</f>
        <v>96.215</v>
      </c>
      <c r="P82" s="81">
        <f>118468/1000</f>
        <v>118.468</v>
      </c>
      <c r="Q82" s="81">
        <v>209</v>
      </c>
      <c r="R82" s="82">
        <v>221.3</v>
      </c>
      <c r="S82" s="82">
        <v>232.8</v>
      </c>
    </row>
    <row r="83" spans="1:19" s="3" customFormat="1" ht="96" customHeight="1">
      <c r="A83" s="66"/>
      <c r="B83" s="11" t="s">
        <v>1050</v>
      </c>
      <c r="C83" s="12"/>
      <c r="D83" s="73" t="s">
        <v>35</v>
      </c>
      <c r="E83" s="7" t="s">
        <v>456</v>
      </c>
      <c r="F83" s="7" t="s">
        <v>457</v>
      </c>
      <c r="G83" s="7" t="s">
        <v>458</v>
      </c>
      <c r="H83" s="7" t="s">
        <v>213</v>
      </c>
      <c r="I83" s="7" t="s">
        <v>214</v>
      </c>
      <c r="J83" s="7" t="s">
        <v>288</v>
      </c>
      <c r="K83" s="7" t="s">
        <v>1167</v>
      </c>
      <c r="L83" s="7" t="s">
        <v>421</v>
      </c>
      <c r="M83" s="10" t="s">
        <v>210</v>
      </c>
      <c r="N83" s="81">
        <f>3328000/1000</f>
        <v>3328</v>
      </c>
      <c r="O83" s="81">
        <f>3327593/1000</f>
        <v>3327.593</v>
      </c>
      <c r="P83" s="81">
        <f>3563000/1000</f>
        <v>3563</v>
      </c>
      <c r="Q83" s="81">
        <v>3407</v>
      </c>
      <c r="R83" s="82">
        <v>3407</v>
      </c>
      <c r="S83" s="82">
        <v>3407</v>
      </c>
    </row>
    <row r="84" spans="1:19" s="3" customFormat="1" ht="85.5" customHeight="1">
      <c r="A84" s="66"/>
      <c r="B84" s="11" t="s">
        <v>423</v>
      </c>
      <c r="C84" s="12"/>
      <c r="D84" s="73" t="s">
        <v>35</v>
      </c>
      <c r="E84" s="7" t="s">
        <v>456</v>
      </c>
      <c r="F84" s="7" t="s">
        <v>133</v>
      </c>
      <c r="G84" s="7" t="s">
        <v>458</v>
      </c>
      <c r="H84" s="7" t="s">
        <v>303</v>
      </c>
      <c r="I84" s="7" t="s">
        <v>313</v>
      </c>
      <c r="J84" s="7" t="s">
        <v>273</v>
      </c>
      <c r="K84" s="7" t="s">
        <v>1168</v>
      </c>
      <c r="L84" s="7" t="s">
        <v>135</v>
      </c>
      <c r="M84" s="10" t="s">
        <v>1169</v>
      </c>
      <c r="N84" s="81">
        <f>7000000/1000</f>
        <v>7000</v>
      </c>
      <c r="O84" s="81">
        <f>7000000/1000</f>
        <v>7000</v>
      </c>
      <c r="P84" s="81">
        <v>0</v>
      </c>
      <c r="Q84" s="85">
        <v>0</v>
      </c>
      <c r="R84" s="85">
        <v>0</v>
      </c>
      <c r="S84" s="85">
        <v>0</v>
      </c>
    </row>
    <row r="85" spans="1:19" s="3" customFormat="1" ht="64.5" customHeight="1">
      <c r="A85" s="66"/>
      <c r="B85" s="11" t="s">
        <v>197</v>
      </c>
      <c r="C85" s="12"/>
      <c r="D85" s="73" t="s">
        <v>35</v>
      </c>
      <c r="E85" s="7" t="s">
        <v>456</v>
      </c>
      <c r="F85" s="7" t="s">
        <v>133</v>
      </c>
      <c r="G85" s="7" t="s">
        <v>458</v>
      </c>
      <c r="H85" s="7" t="s">
        <v>303</v>
      </c>
      <c r="I85" s="7" t="s">
        <v>313</v>
      </c>
      <c r="J85" s="7" t="s">
        <v>273</v>
      </c>
      <c r="K85" s="7" t="s">
        <v>275</v>
      </c>
      <c r="L85" s="7" t="s">
        <v>276</v>
      </c>
      <c r="M85" s="10" t="s">
        <v>80</v>
      </c>
      <c r="N85" s="81">
        <f>(29558283.61+1143000+120000+41900)/1000</f>
        <v>30863.18361</v>
      </c>
      <c r="O85" s="81">
        <f>(29558027.94+1143000+120000+41320)/1000</f>
        <v>30862.34794</v>
      </c>
      <c r="P85" s="81">
        <f>36787409.96/1000</f>
        <v>36787.409960000005</v>
      </c>
      <c r="Q85" s="81">
        <f>37698.9+363.7</f>
        <v>38062.6</v>
      </c>
      <c r="R85" s="82">
        <f>39053+385.2</f>
        <v>39438.2</v>
      </c>
      <c r="S85" s="82">
        <f>41933.3+405.2</f>
        <v>42338.5</v>
      </c>
    </row>
    <row r="86" spans="1:19" s="3" customFormat="1" ht="87.75" customHeight="1">
      <c r="A86" s="66"/>
      <c r="B86" s="11" t="s">
        <v>29</v>
      </c>
      <c r="C86" s="12"/>
      <c r="D86" s="73" t="s">
        <v>35</v>
      </c>
      <c r="E86" s="7" t="s">
        <v>456</v>
      </c>
      <c r="F86" s="7" t="s">
        <v>457</v>
      </c>
      <c r="G86" s="7" t="s">
        <v>458</v>
      </c>
      <c r="H86" s="7" t="s">
        <v>730</v>
      </c>
      <c r="I86" s="7" t="s">
        <v>731</v>
      </c>
      <c r="J86" s="7" t="s">
        <v>732</v>
      </c>
      <c r="K86" s="7" t="s">
        <v>1170</v>
      </c>
      <c r="L86" s="7" t="s">
        <v>421</v>
      </c>
      <c r="M86" s="10" t="s">
        <v>210</v>
      </c>
      <c r="N86" s="81">
        <f>3640894/1000</f>
        <v>3640.894</v>
      </c>
      <c r="O86" s="81">
        <f>3636134.33/1000</f>
        <v>3636.13433</v>
      </c>
      <c r="P86" s="81">
        <f>3314359/1000</f>
        <v>3314.359</v>
      </c>
      <c r="Q86" s="81">
        <v>3805.7</v>
      </c>
      <c r="R86" s="82">
        <v>4030.2</v>
      </c>
      <c r="S86" s="82">
        <v>4239.8</v>
      </c>
    </row>
    <row r="87" spans="1:19" s="3" customFormat="1" ht="98.25" customHeight="1">
      <c r="A87" s="66"/>
      <c r="B87" s="11" t="s">
        <v>504</v>
      </c>
      <c r="C87" s="12"/>
      <c r="D87" s="73" t="s">
        <v>35</v>
      </c>
      <c r="E87" s="7" t="s">
        <v>456</v>
      </c>
      <c r="F87" s="7" t="s">
        <v>457</v>
      </c>
      <c r="G87" s="7" t="s">
        <v>458</v>
      </c>
      <c r="H87" s="41" t="s">
        <v>758</v>
      </c>
      <c r="I87" s="41" t="s">
        <v>759</v>
      </c>
      <c r="J87" s="44" t="s">
        <v>711</v>
      </c>
      <c r="K87" s="7" t="s">
        <v>699</v>
      </c>
      <c r="L87" s="7" t="s">
        <v>678</v>
      </c>
      <c r="M87" s="10" t="s">
        <v>552</v>
      </c>
      <c r="N87" s="81">
        <v>0</v>
      </c>
      <c r="O87" s="81">
        <v>0</v>
      </c>
      <c r="P87" s="81">
        <f>378000/1000</f>
        <v>378</v>
      </c>
      <c r="Q87" s="81">
        <v>0</v>
      </c>
      <c r="R87" s="82">
        <v>0</v>
      </c>
      <c r="S87" s="82">
        <v>0</v>
      </c>
    </row>
    <row r="88" spans="1:19" s="3" customFormat="1" ht="112.5" customHeight="1">
      <c r="A88" s="66"/>
      <c r="B88" s="11" t="s">
        <v>155</v>
      </c>
      <c r="C88" s="12"/>
      <c r="D88" s="73" t="s">
        <v>35</v>
      </c>
      <c r="E88" s="7" t="s">
        <v>456</v>
      </c>
      <c r="F88" s="7" t="s">
        <v>457</v>
      </c>
      <c r="G88" s="7" t="s">
        <v>458</v>
      </c>
      <c r="H88" s="7" t="s">
        <v>760</v>
      </c>
      <c r="I88" s="7" t="s">
        <v>191</v>
      </c>
      <c r="J88" s="7" t="s">
        <v>761</v>
      </c>
      <c r="K88" s="52" t="s">
        <v>685</v>
      </c>
      <c r="L88" s="52" t="s">
        <v>341</v>
      </c>
      <c r="M88" s="52" t="s">
        <v>686</v>
      </c>
      <c r="N88" s="81">
        <f>16211000/1000</f>
        <v>16211</v>
      </c>
      <c r="O88" s="81">
        <f>16210531/1000</f>
        <v>16210.531</v>
      </c>
      <c r="P88" s="81">
        <f>19371229/1000</f>
        <v>19371.229</v>
      </c>
      <c r="Q88" s="85">
        <v>0</v>
      </c>
      <c r="R88" s="85">
        <v>0</v>
      </c>
      <c r="S88" s="85">
        <v>0</v>
      </c>
    </row>
    <row r="89" spans="1:19" s="3" customFormat="1" ht="111" customHeight="1">
      <c r="A89" s="66"/>
      <c r="B89" s="11" t="s">
        <v>372</v>
      </c>
      <c r="C89" s="12"/>
      <c r="D89" s="73" t="s">
        <v>35</v>
      </c>
      <c r="E89" s="7" t="s">
        <v>456</v>
      </c>
      <c r="F89" s="7" t="s">
        <v>457</v>
      </c>
      <c r="G89" s="7" t="s">
        <v>458</v>
      </c>
      <c r="H89" s="7" t="s">
        <v>762</v>
      </c>
      <c r="I89" s="7" t="s">
        <v>421</v>
      </c>
      <c r="J89" s="7" t="s">
        <v>763</v>
      </c>
      <c r="K89" s="7" t="s">
        <v>373</v>
      </c>
      <c r="L89" s="7" t="s">
        <v>135</v>
      </c>
      <c r="M89" s="10" t="s">
        <v>1171</v>
      </c>
      <c r="N89" s="81">
        <f>(60000+45950)/1000</f>
        <v>105.95</v>
      </c>
      <c r="O89" s="81">
        <f>(60000+45950)/1000</f>
        <v>105.95</v>
      </c>
      <c r="P89" s="81">
        <v>0</v>
      </c>
      <c r="Q89" s="85">
        <v>0</v>
      </c>
      <c r="R89" s="85">
        <v>0</v>
      </c>
      <c r="S89" s="85">
        <v>0</v>
      </c>
    </row>
    <row r="90" spans="1:19" s="3" customFormat="1" ht="111.75" customHeight="1">
      <c r="A90" s="66"/>
      <c r="B90" s="11" t="s">
        <v>6</v>
      </c>
      <c r="C90" s="12"/>
      <c r="D90" s="73" t="s">
        <v>35</v>
      </c>
      <c r="E90" s="7" t="s">
        <v>456</v>
      </c>
      <c r="F90" s="7" t="s">
        <v>457</v>
      </c>
      <c r="G90" s="7" t="s">
        <v>458</v>
      </c>
      <c r="H90" s="7" t="s">
        <v>764</v>
      </c>
      <c r="I90" s="7" t="s">
        <v>30</v>
      </c>
      <c r="J90" s="7" t="s">
        <v>765</v>
      </c>
      <c r="K90" s="7" t="s">
        <v>7</v>
      </c>
      <c r="L90" s="7" t="s">
        <v>558</v>
      </c>
      <c r="M90" s="10" t="s">
        <v>559</v>
      </c>
      <c r="N90" s="81">
        <f>2363980/1000</f>
        <v>2363.98</v>
      </c>
      <c r="O90" s="81">
        <f>2360682/1000</f>
        <v>2360.682</v>
      </c>
      <c r="P90" s="81">
        <v>0</v>
      </c>
      <c r="Q90" s="85">
        <v>0</v>
      </c>
      <c r="R90" s="85">
        <v>0</v>
      </c>
      <c r="S90" s="85">
        <v>0</v>
      </c>
    </row>
    <row r="91" spans="1:19" s="3" customFormat="1" ht="65.25" customHeight="1">
      <c r="A91" s="66"/>
      <c r="B91" s="11" t="s">
        <v>175</v>
      </c>
      <c r="C91" s="12"/>
      <c r="D91" s="73" t="s">
        <v>247</v>
      </c>
      <c r="E91" s="7" t="s">
        <v>81</v>
      </c>
      <c r="F91" s="7" t="s">
        <v>459</v>
      </c>
      <c r="G91" s="7" t="s">
        <v>82</v>
      </c>
      <c r="H91" s="7"/>
      <c r="I91" s="7"/>
      <c r="J91" s="7"/>
      <c r="K91" s="7" t="s">
        <v>707</v>
      </c>
      <c r="L91" s="7" t="s">
        <v>421</v>
      </c>
      <c r="M91" s="10" t="s">
        <v>432</v>
      </c>
      <c r="N91" s="81">
        <f>14040/1000</f>
        <v>14.04</v>
      </c>
      <c r="O91" s="81">
        <f>14040/1000</f>
        <v>14.04</v>
      </c>
      <c r="P91" s="81">
        <f>11043/1000</f>
        <v>11.043</v>
      </c>
      <c r="Q91" s="81">
        <v>1579.1</v>
      </c>
      <c r="R91" s="82">
        <v>1672.3</v>
      </c>
      <c r="S91" s="82">
        <v>1759.2</v>
      </c>
    </row>
    <row r="92" spans="1:19" s="3" customFormat="1" ht="135.75" customHeight="1">
      <c r="A92" s="66"/>
      <c r="B92" s="11" t="s">
        <v>374</v>
      </c>
      <c r="C92" s="12"/>
      <c r="D92" s="73" t="s">
        <v>247</v>
      </c>
      <c r="E92" s="7" t="s">
        <v>81</v>
      </c>
      <c r="F92" s="7" t="s">
        <v>459</v>
      </c>
      <c r="G92" s="7" t="s">
        <v>82</v>
      </c>
      <c r="H92" s="7" t="s">
        <v>730</v>
      </c>
      <c r="I92" s="7" t="s">
        <v>766</v>
      </c>
      <c r="J92" s="7" t="s">
        <v>732</v>
      </c>
      <c r="K92" s="7" t="s">
        <v>878</v>
      </c>
      <c r="L92" s="7" t="s">
        <v>324</v>
      </c>
      <c r="M92" s="10" t="s">
        <v>325</v>
      </c>
      <c r="N92" s="81">
        <f>2960300/1000</f>
        <v>2960.3</v>
      </c>
      <c r="O92" s="81">
        <f>2957646/1000</f>
        <v>2957.646</v>
      </c>
      <c r="P92" s="81">
        <f>3134900/1000</f>
        <v>3134.9</v>
      </c>
      <c r="Q92" s="81">
        <v>3323</v>
      </c>
      <c r="R92" s="81">
        <v>3519.1</v>
      </c>
      <c r="S92" s="81">
        <v>3702.1</v>
      </c>
    </row>
    <row r="93" spans="1:19" s="3" customFormat="1" ht="98.25" customHeight="1">
      <c r="A93" s="66"/>
      <c r="B93" s="11" t="s">
        <v>206</v>
      </c>
      <c r="C93" s="12"/>
      <c r="D93" s="73" t="s">
        <v>16</v>
      </c>
      <c r="E93" s="7" t="s">
        <v>767</v>
      </c>
      <c r="F93" s="7" t="s">
        <v>135</v>
      </c>
      <c r="G93" s="7" t="s">
        <v>768</v>
      </c>
      <c r="H93" s="7"/>
      <c r="I93" s="7"/>
      <c r="J93" s="7"/>
      <c r="K93" s="7" t="s">
        <v>14</v>
      </c>
      <c r="L93" s="7" t="s">
        <v>135</v>
      </c>
      <c r="M93" s="7" t="s">
        <v>1172</v>
      </c>
      <c r="N93" s="81">
        <f>69460/1000</f>
        <v>69.46</v>
      </c>
      <c r="O93" s="81">
        <f>69433.9/1000</f>
        <v>69.4339</v>
      </c>
      <c r="P93" s="81">
        <v>0</v>
      </c>
      <c r="Q93" s="81">
        <v>0</v>
      </c>
      <c r="R93" s="82">
        <v>0</v>
      </c>
      <c r="S93" s="82">
        <v>0</v>
      </c>
    </row>
    <row r="94" spans="1:19" s="3" customFormat="1" ht="98.25" customHeight="1">
      <c r="A94" s="66"/>
      <c r="B94" s="11" t="s">
        <v>869</v>
      </c>
      <c r="C94" s="12"/>
      <c r="D94" s="73" t="s">
        <v>376</v>
      </c>
      <c r="E94" s="7" t="s">
        <v>81</v>
      </c>
      <c r="F94" s="7" t="s">
        <v>28</v>
      </c>
      <c r="G94" s="7" t="s">
        <v>82</v>
      </c>
      <c r="H94" s="7" t="s">
        <v>303</v>
      </c>
      <c r="I94" s="7" t="s">
        <v>313</v>
      </c>
      <c r="J94" s="7" t="s">
        <v>273</v>
      </c>
      <c r="K94" s="7" t="s">
        <v>699</v>
      </c>
      <c r="L94" s="7" t="s">
        <v>678</v>
      </c>
      <c r="M94" s="10" t="s">
        <v>552</v>
      </c>
      <c r="N94" s="81">
        <v>0</v>
      </c>
      <c r="O94" s="81">
        <v>0</v>
      </c>
      <c r="P94" s="81">
        <f>99000/1000</f>
        <v>99</v>
      </c>
      <c r="Q94" s="81">
        <v>0</v>
      </c>
      <c r="R94" s="82">
        <v>0</v>
      </c>
      <c r="S94" s="82">
        <v>0</v>
      </c>
    </row>
    <row r="95" spans="1:19" s="3" customFormat="1" ht="98.25" customHeight="1">
      <c r="A95" s="66"/>
      <c r="B95" s="11" t="s">
        <v>870</v>
      </c>
      <c r="C95" s="12"/>
      <c r="D95" s="73" t="s">
        <v>35</v>
      </c>
      <c r="E95" s="7" t="s">
        <v>81</v>
      </c>
      <c r="F95" s="7" t="s">
        <v>871</v>
      </c>
      <c r="G95" s="7" t="s">
        <v>82</v>
      </c>
      <c r="H95" s="7" t="s">
        <v>303</v>
      </c>
      <c r="I95" s="7" t="s">
        <v>792</v>
      </c>
      <c r="J95" s="7" t="s">
        <v>273</v>
      </c>
      <c r="K95" s="7" t="s">
        <v>699</v>
      </c>
      <c r="L95" s="7" t="s">
        <v>678</v>
      </c>
      <c r="M95" s="10" t="s">
        <v>552</v>
      </c>
      <c r="N95" s="81">
        <v>0</v>
      </c>
      <c r="O95" s="81">
        <v>0</v>
      </c>
      <c r="P95" s="81">
        <f>151000/1000</f>
        <v>151</v>
      </c>
      <c r="Q95" s="81">
        <v>0</v>
      </c>
      <c r="R95" s="82">
        <v>0</v>
      </c>
      <c r="S95" s="82">
        <v>0</v>
      </c>
    </row>
    <row r="96" spans="1:19" s="3" customFormat="1" ht="65.25" customHeight="1">
      <c r="A96" s="66"/>
      <c r="B96" s="11" t="s">
        <v>872</v>
      </c>
      <c r="C96" s="12"/>
      <c r="D96" s="73" t="s">
        <v>376</v>
      </c>
      <c r="E96" s="7" t="s">
        <v>81</v>
      </c>
      <c r="F96" s="7" t="s">
        <v>874</v>
      </c>
      <c r="G96" s="7" t="s">
        <v>82</v>
      </c>
      <c r="H96" s="7" t="s">
        <v>873</v>
      </c>
      <c r="I96" s="7" t="s">
        <v>421</v>
      </c>
      <c r="J96" s="7" t="s">
        <v>686</v>
      </c>
      <c r="K96" s="52" t="s">
        <v>876</v>
      </c>
      <c r="L96" s="52" t="s">
        <v>170</v>
      </c>
      <c r="M96" s="52" t="s">
        <v>875</v>
      </c>
      <c r="N96" s="81">
        <v>0</v>
      </c>
      <c r="O96" s="81">
        <v>0</v>
      </c>
      <c r="P96" s="81">
        <f>2291000/1000</f>
        <v>2291</v>
      </c>
      <c r="Q96" s="81">
        <v>0</v>
      </c>
      <c r="R96" s="82">
        <v>0</v>
      </c>
      <c r="S96" s="82">
        <v>0</v>
      </c>
    </row>
    <row r="97" spans="1:19" s="3" customFormat="1" ht="160.5" customHeight="1">
      <c r="A97" s="66"/>
      <c r="B97" s="54" t="s">
        <v>622</v>
      </c>
      <c r="C97" s="12"/>
      <c r="D97" s="73" t="s">
        <v>35</v>
      </c>
      <c r="E97" s="7" t="s">
        <v>81</v>
      </c>
      <c r="F97" s="7" t="s">
        <v>28</v>
      </c>
      <c r="G97" s="7" t="s">
        <v>82</v>
      </c>
      <c r="H97" s="7" t="s">
        <v>769</v>
      </c>
      <c r="I97" s="7" t="s">
        <v>499</v>
      </c>
      <c r="J97" s="7" t="s">
        <v>625</v>
      </c>
      <c r="K97" s="52" t="s">
        <v>623</v>
      </c>
      <c r="L97" s="52" t="s">
        <v>624</v>
      </c>
      <c r="M97" s="52" t="s">
        <v>625</v>
      </c>
      <c r="N97" s="81">
        <f>2114900/1000</f>
        <v>2114.9</v>
      </c>
      <c r="O97" s="81">
        <f>2114900/1000</f>
        <v>2114.9</v>
      </c>
      <c r="P97" s="81">
        <v>0</v>
      </c>
      <c r="Q97" s="81">
        <v>0</v>
      </c>
      <c r="R97" s="82">
        <v>0</v>
      </c>
      <c r="S97" s="82">
        <v>0</v>
      </c>
    </row>
    <row r="98" spans="1:19" s="3" customFormat="1" ht="54.75" customHeight="1">
      <c r="A98" s="163"/>
      <c r="B98" s="185" t="s">
        <v>629</v>
      </c>
      <c r="C98" s="12"/>
      <c r="D98" s="166" t="s">
        <v>35</v>
      </c>
      <c r="E98" s="151" t="s">
        <v>81</v>
      </c>
      <c r="F98" s="151" t="s">
        <v>28</v>
      </c>
      <c r="G98" s="151" t="s">
        <v>82</v>
      </c>
      <c r="H98" s="151" t="s">
        <v>303</v>
      </c>
      <c r="I98" s="151" t="s">
        <v>313</v>
      </c>
      <c r="J98" s="151" t="s">
        <v>273</v>
      </c>
      <c r="K98" s="175" t="s">
        <v>708</v>
      </c>
      <c r="L98" s="175" t="s">
        <v>678</v>
      </c>
      <c r="M98" s="175" t="s">
        <v>552</v>
      </c>
      <c r="N98" s="83">
        <f>113500/1000</f>
        <v>113.5</v>
      </c>
      <c r="O98" s="83">
        <f>113500/1000</f>
        <v>113.5</v>
      </c>
      <c r="P98" s="83">
        <v>0</v>
      </c>
      <c r="Q98" s="83">
        <v>0</v>
      </c>
      <c r="R98" s="86">
        <v>0</v>
      </c>
      <c r="S98" s="86">
        <v>0</v>
      </c>
    </row>
    <row r="99" spans="1:19" s="3" customFormat="1" ht="54.75" customHeight="1">
      <c r="A99" s="165"/>
      <c r="B99" s="186"/>
      <c r="C99" s="12"/>
      <c r="D99" s="168"/>
      <c r="E99" s="153"/>
      <c r="F99" s="153"/>
      <c r="G99" s="153"/>
      <c r="H99" s="153"/>
      <c r="I99" s="153"/>
      <c r="J99" s="153"/>
      <c r="K99" s="176"/>
      <c r="L99" s="176"/>
      <c r="M99" s="176"/>
      <c r="N99" s="89">
        <f>32000/1000</f>
        <v>32</v>
      </c>
      <c r="O99" s="89">
        <f>32000/1000</f>
        <v>32</v>
      </c>
      <c r="P99" s="89">
        <v>0</v>
      </c>
      <c r="Q99" s="89">
        <v>0</v>
      </c>
      <c r="R99" s="91">
        <v>0</v>
      </c>
      <c r="S99" s="91">
        <v>0</v>
      </c>
    </row>
    <row r="100" spans="1:19" s="3" customFormat="1" ht="114" customHeight="1">
      <c r="A100" s="69"/>
      <c r="B100" s="53" t="s">
        <v>631</v>
      </c>
      <c r="C100" s="12"/>
      <c r="D100" s="77" t="s">
        <v>35</v>
      </c>
      <c r="E100" s="7" t="s">
        <v>456</v>
      </c>
      <c r="F100" s="7" t="s">
        <v>457</v>
      </c>
      <c r="G100" s="7" t="s">
        <v>458</v>
      </c>
      <c r="H100" s="7" t="s">
        <v>303</v>
      </c>
      <c r="I100" s="7" t="s">
        <v>313</v>
      </c>
      <c r="J100" s="7" t="s">
        <v>273</v>
      </c>
      <c r="K100" s="52" t="s">
        <v>709</v>
      </c>
      <c r="L100" s="52" t="s">
        <v>678</v>
      </c>
      <c r="M100" s="52" t="s">
        <v>552</v>
      </c>
      <c r="N100" s="89">
        <f>124840/1000</f>
        <v>124.84</v>
      </c>
      <c r="O100" s="89">
        <f>124840/1000</f>
        <v>124.84</v>
      </c>
      <c r="P100" s="89">
        <v>0</v>
      </c>
      <c r="Q100" s="89">
        <v>0</v>
      </c>
      <c r="R100" s="91">
        <v>0</v>
      </c>
      <c r="S100" s="91">
        <v>0</v>
      </c>
    </row>
    <row r="101" spans="1:19" s="3" customFormat="1" ht="110.25" customHeight="1">
      <c r="A101" s="69"/>
      <c r="B101" s="53" t="s">
        <v>630</v>
      </c>
      <c r="C101" s="12"/>
      <c r="D101" s="77" t="s">
        <v>35</v>
      </c>
      <c r="E101" s="7" t="s">
        <v>456</v>
      </c>
      <c r="F101" s="7" t="s">
        <v>457</v>
      </c>
      <c r="G101" s="7" t="s">
        <v>458</v>
      </c>
      <c r="H101" s="7" t="s">
        <v>303</v>
      </c>
      <c r="I101" s="7" t="s">
        <v>313</v>
      </c>
      <c r="J101" s="7" t="s">
        <v>273</v>
      </c>
      <c r="K101" s="52" t="s">
        <v>709</v>
      </c>
      <c r="L101" s="52" t="s">
        <v>678</v>
      </c>
      <c r="M101" s="52" t="s">
        <v>552</v>
      </c>
      <c r="N101" s="89">
        <f>52774/1000</f>
        <v>52.774</v>
      </c>
      <c r="O101" s="89">
        <f>52774/1000</f>
        <v>52.774</v>
      </c>
      <c r="P101" s="89">
        <v>0</v>
      </c>
      <c r="Q101" s="89">
        <v>0</v>
      </c>
      <c r="R101" s="91">
        <v>0</v>
      </c>
      <c r="S101" s="91">
        <v>0</v>
      </c>
    </row>
    <row r="102" spans="1:19" s="3" customFormat="1" ht="58.5" customHeight="1">
      <c r="A102" s="163"/>
      <c r="B102" s="160" t="s">
        <v>896</v>
      </c>
      <c r="C102" s="37"/>
      <c r="D102" s="166" t="s">
        <v>376</v>
      </c>
      <c r="E102" s="151" t="s">
        <v>81</v>
      </c>
      <c r="F102" s="151" t="s">
        <v>459</v>
      </c>
      <c r="G102" s="151" t="s">
        <v>82</v>
      </c>
      <c r="H102" s="151" t="s">
        <v>730</v>
      </c>
      <c r="I102" s="151" t="s">
        <v>897</v>
      </c>
      <c r="J102" s="145" t="s">
        <v>732</v>
      </c>
      <c r="K102" s="124" t="s">
        <v>898</v>
      </c>
      <c r="L102" s="124" t="s">
        <v>421</v>
      </c>
      <c r="M102" s="125" t="s">
        <v>899</v>
      </c>
      <c r="N102" s="84">
        <v>0</v>
      </c>
      <c r="O102" s="84">
        <v>0</v>
      </c>
      <c r="P102" s="148">
        <f>15034000/1000</f>
        <v>15034</v>
      </c>
      <c r="Q102" s="84">
        <v>0</v>
      </c>
      <c r="R102" s="99">
        <v>0</v>
      </c>
      <c r="S102" s="99">
        <v>0</v>
      </c>
    </row>
    <row r="103" spans="1:19" s="3" customFormat="1" ht="60.75" customHeight="1">
      <c r="A103" s="164"/>
      <c r="B103" s="161"/>
      <c r="C103" s="37"/>
      <c r="D103" s="167"/>
      <c r="E103" s="152"/>
      <c r="F103" s="152"/>
      <c r="G103" s="152"/>
      <c r="H103" s="152"/>
      <c r="I103" s="152"/>
      <c r="J103" s="146"/>
      <c r="K103" s="126" t="s">
        <v>1084</v>
      </c>
      <c r="L103" s="126" t="s">
        <v>421</v>
      </c>
      <c r="M103" s="127" t="s">
        <v>1085</v>
      </c>
      <c r="N103" s="84"/>
      <c r="O103" s="84"/>
      <c r="P103" s="149"/>
      <c r="Q103" s="84"/>
      <c r="R103" s="99"/>
      <c r="S103" s="99"/>
    </row>
    <row r="104" spans="1:19" s="3" customFormat="1" ht="60.75" customHeight="1">
      <c r="A104" s="165"/>
      <c r="B104" s="162"/>
      <c r="C104" s="37"/>
      <c r="D104" s="168"/>
      <c r="E104" s="153"/>
      <c r="F104" s="153"/>
      <c r="G104" s="153"/>
      <c r="H104" s="153"/>
      <c r="I104" s="153"/>
      <c r="J104" s="147"/>
      <c r="K104" s="62" t="s">
        <v>1086</v>
      </c>
      <c r="L104" s="62" t="s">
        <v>421</v>
      </c>
      <c r="M104" s="128" t="s">
        <v>1087</v>
      </c>
      <c r="N104" s="84"/>
      <c r="O104" s="84"/>
      <c r="P104" s="150"/>
      <c r="Q104" s="84"/>
      <c r="R104" s="99"/>
      <c r="S104" s="99"/>
    </row>
    <row r="105" spans="1:19" s="3" customFormat="1" ht="84.75" customHeight="1">
      <c r="A105" s="66"/>
      <c r="B105" s="54" t="s">
        <v>900</v>
      </c>
      <c r="C105" s="12"/>
      <c r="D105" s="73" t="s">
        <v>35</v>
      </c>
      <c r="E105" s="39" t="s">
        <v>81</v>
      </c>
      <c r="F105" s="39" t="s">
        <v>459</v>
      </c>
      <c r="G105" s="39" t="s">
        <v>82</v>
      </c>
      <c r="H105" s="7" t="s">
        <v>901</v>
      </c>
      <c r="I105" s="7" t="s">
        <v>902</v>
      </c>
      <c r="J105" s="7" t="s">
        <v>903</v>
      </c>
      <c r="K105" s="59" t="s">
        <v>898</v>
      </c>
      <c r="L105" s="59" t="s">
        <v>421</v>
      </c>
      <c r="M105" s="59" t="s">
        <v>899</v>
      </c>
      <c r="N105" s="81">
        <v>0</v>
      </c>
      <c r="O105" s="81">
        <v>0</v>
      </c>
      <c r="P105" s="81">
        <f>99000/1000</f>
        <v>99</v>
      </c>
      <c r="Q105" s="81">
        <v>0</v>
      </c>
      <c r="R105" s="82">
        <v>0</v>
      </c>
      <c r="S105" s="82">
        <v>0</v>
      </c>
    </row>
    <row r="106" spans="1:19" s="3" customFormat="1" ht="108" customHeight="1">
      <c r="A106" s="66"/>
      <c r="B106" s="54" t="s">
        <v>904</v>
      </c>
      <c r="C106" s="12"/>
      <c r="D106" s="73" t="s">
        <v>35</v>
      </c>
      <c r="E106" s="7" t="s">
        <v>456</v>
      </c>
      <c r="F106" s="7" t="s">
        <v>457</v>
      </c>
      <c r="G106" s="7" t="s">
        <v>458</v>
      </c>
      <c r="H106" s="7" t="s">
        <v>303</v>
      </c>
      <c r="I106" s="7" t="s">
        <v>313</v>
      </c>
      <c r="J106" s="7" t="s">
        <v>273</v>
      </c>
      <c r="K106" s="52" t="s">
        <v>708</v>
      </c>
      <c r="L106" s="52" t="s">
        <v>678</v>
      </c>
      <c r="M106" s="52" t="s">
        <v>552</v>
      </c>
      <c r="N106" s="101">
        <v>0</v>
      </c>
      <c r="O106" s="101">
        <v>0</v>
      </c>
      <c r="P106" s="101">
        <v>0</v>
      </c>
      <c r="Q106" s="81">
        <v>0</v>
      </c>
      <c r="R106" s="82">
        <v>0</v>
      </c>
      <c r="S106" s="82">
        <v>0</v>
      </c>
    </row>
    <row r="107" spans="1:19" s="3" customFormat="1" ht="84" customHeight="1">
      <c r="A107" s="66"/>
      <c r="B107" s="54" t="s">
        <v>905</v>
      </c>
      <c r="C107" s="12"/>
      <c r="D107" s="73" t="s">
        <v>35</v>
      </c>
      <c r="E107" s="39" t="s">
        <v>81</v>
      </c>
      <c r="F107" s="39" t="s">
        <v>459</v>
      </c>
      <c r="G107" s="39" t="s">
        <v>82</v>
      </c>
      <c r="H107" s="39" t="s">
        <v>730</v>
      </c>
      <c r="I107" s="39" t="s">
        <v>906</v>
      </c>
      <c r="J107" s="39" t="s">
        <v>732</v>
      </c>
      <c r="K107" s="50" t="s">
        <v>1088</v>
      </c>
      <c r="L107" s="50" t="s">
        <v>30</v>
      </c>
      <c r="M107" s="110" t="s">
        <v>1089</v>
      </c>
      <c r="N107" s="81">
        <v>0</v>
      </c>
      <c r="O107" s="81">
        <v>0</v>
      </c>
      <c r="P107" s="81">
        <f>497000/1000</f>
        <v>497</v>
      </c>
      <c r="Q107" s="81">
        <v>0</v>
      </c>
      <c r="R107" s="82">
        <v>0</v>
      </c>
      <c r="S107" s="82">
        <v>0</v>
      </c>
    </row>
    <row r="108" spans="1:19" s="3" customFormat="1" ht="137.25" customHeight="1">
      <c r="A108" s="66"/>
      <c r="B108" s="108" t="s">
        <v>957</v>
      </c>
      <c r="C108" s="12"/>
      <c r="D108" s="73" t="s">
        <v>376</v>
      </c>
      <c r="E108" s="39" t="s">
        <v>81</v>
      </c>
      <c r="F108" s="39" t="s">
        <v>459</v>
      </c>
      <c r="G108" s="39" t="s">
        <v>82</v>
      </c>
      <c r="H108" s="7" t="s">
        <v>1005</v>
      </c>
      <c r="I108" s="7" t="s">
        <v>1007</v>
      </c>
      <c r="J108" s="7" t="s">
        <v>1006</v>
      </c>
      <c r="K108" s="59" t="s">
        <v>1173</v>
      </c>
      <c r="L108" s="59" t="s">
        <v>276</v>
      </c>
      <c r="M108" s="59" t="s">
        <v>80</v>
      </c>
      <c r="N108" s="81">
        <v>0</v>
      </c>
      <c r="O108" s="81">
        <v>0</v>
      </c>
      <c r="P108" s="81">
        <f>45900/1000</f>
        <v>45.9</v>
      </c>
      <c r="Q108" s="81">
        <v>0</v>
      </c>
      <c r="R108" s="82">
        <v>0</v>
      </c>
      <c r="S108" s="82">
        <v>0</v>
      </c>
    </row>
    <row r="109" spans="1:19" s="3" customFormat="1" ht="42" customHeight="1">
      <c r="A109" s="169"/>
      <c r="B109" s="171" t="s">
        <v>958</v>
      </c>
      <c r="C109" s="12"/>
      <c r="D109" s="74" t="s">
        <v>376</v>
      </c>
      <c r="E109" s="151" t="s">
        <v>81</v>
      </c>
      <c r="F109" s="151" t="s">
        <v>459</v>
      </c>
      <c r="G109" s="151" t="s">
        <v>82</v>
      </c>
      <c r="H109" s="151" t="s">
        <v>986</v>
      </c>
      <c r="I109" s="39" t="s">
        <v>1003</v>
      </c>
      <c r="J109" s="145" t="s">
        <v>988</v>
      </c>
      <c r="K109" s="182" t="s">
        <v>959</v>
      </c>
      <c r="L109" s="184" t="s">
        <v>30</v>
      </c>
      <c r="M109" s="210" t="s">
        <v>960</v>
      </c>
      <c r="N109" s="106">
        <v>0</v>
      </c>
      <c r="O109" s="83">
        <v>0</v>
      </c>
      <c r="P109" s="83">
        <f>131870/1000</f>
        <v>131.87</v>
      </c>
      <c r="Q109" s="83">
        <v>0</v>
      </c>
      <c r="R109" s="86">
        <v>0</v>
      </c>
      <c r="S109" s="86">
        <v>0</v>
      </c>
    </row>
    <row r="110" spans="1:19" s="3" customFormat="1" ht="42" customHeight="1">
      <c r="A110" s="170"/>
      <c r="B110" s="172"/>
      <c r="C110" s="12"/>
      <c r="D110" s="77" t="s">
        <v>35</v>
      </c>
      <c r="E110" s="153"/>
      <c r="F110" s="153"/>
      <c r="G110" s="153"/>
      <c r="H110" s="153"/>
      <c r="I110" s="41" t="s">
        <v>1004</v>
      </c>
      <c r="J110" s="147"/>
      <c r="K110" s="183"/>
      <c r="L110" s="184"/>
      <c r="M110" s="211"/>
      <c r="N110" s="107">
        <v>0</v>
      </c>
      <c r="O110" s="89">
        <v>0</v>
      </c>
      <c r="P110" s="89">
        <f>167972/1000</f>
        <v>167.972</v>
      </c>
      <c r="Q110" s="89">
        <v>0</v>
      </c>
      <c r="R110" s="91">
        <v>0</v>
      </c>
      <c r="S110" s="91">
        <v>0</v>
      </c>
    </row>
    <row r="111" spans="1:19" s="3" customFormat="1" ht="136.5" customHeight="1">
      <c r="A111" s="66"/>
      <c r="B111" s="54" t="s">
        <v>961</v>
      </c>
      <c r="C111" s="12"/>
      <c r="D111" s="73" t="s">
        <v>376</v>
      </c>
      <c r="E111" s="39" t="s">
        <v>81</v>
      </c>
      <c r="F111" s="39" t="s">
        <v>459</v>
      </c>
      <c r="G111" s="39" t="s">
        <v>82</v>
      </c>
      <c r="H111" s="7" t="s">
        <v>998</v>
      </c>
      <c r="I111" s="7" t="s">
        <v>1002</v>
      </c>
      <c r="J111" s="7" t="s">
        <v>1000</v>
      </c>
      <c r="K111" s="59" t="s">
        <v>1173</v>
      </c>
      <c r="L111" s="59" t="s">
        <v>276</v>
      </c>
      <c r="M111" s="59" t="s">
        <v>80</v>
      </c>
      <c r="N111" s="81">
        <v>0</v>
      </c>
      <c r="O111" s="81">
        <v>0</v>
      </c>
      <c r="P111" s="81">
        <f>48500/1000</f>
        <v>48.5</v>
      </c>
      <c r="Q111" s="81">
        <v>0</v>
      </c>
      <c r="R111" s="82">
        <v>0</v>
      </c>
      <c r="S111" s="82">
        <v>0</v>
      </c>
    </row>
    <row r="112" spans="1:19" s="3" customFormat="1" ht="92.25" customHeight="1">
      <c r="A112" s="66"/>
      <c r="B112" s="53" t="s">
        <v>962</v>
      </c>
      <c r="C112" s="12"/>
      <c r="D112" s="73" t="s">
        <v>35</v>
      </c>
      <c r="E112" s="39" t="s">
        <v>81</v>
      </c>
      <c r="F112" s="39" t="s">
        <v>459</v>
      </c>
      <c r="G112" s="39" t="s">
        <v>82</v>
      </c>
      <c r="H112" s="7" t="s">
        <v>998</v>
      </c>
      <c r="I112" s="7" t="s">
        <v>1001</v>
      </c>
      <c r="J112" s="7" t="s">
        <v>1000</v>
      </c>
      <c r="K112" s="50" t="s">
        <v>275</v>
      </c>
      <c r="L112" s="105" t="s">
        <v>276</v>
      </c>
      <c r="M112" s="110" t="s">
        <v>80</v>
      </c>
      <c r="N112" s="81">
        <v>0</v>
      </c>
      <c r="O112" s="81">
        <v>0</v>
      </c>
      <c r="P112" s="81">
        <f>100000/1000</f>
        <v>100</v>
      </c>
      <c r="Q112" s="81">
        <v>0</v>
      </c>
      <c r="R112" s="82">
        <v>0</v>
      </c>
      <c r="S112" s="82">
        <v>0</v>
      </c>
    </row>
    <row r="113" spans="1:19" s="3" customFormat="1" ht="92.25" customHeight="1">
      <c r="A113" s="66"/>
      <c r="B113" s="53" t="s">
        <v>963</v>
      </c>
      <c r="C113" s="12"/>
      <c r="D113" s="73" t="s">
        <v>35</v>
      </c>
      <c r="E113" s="39" t="s">
        <v>81</v>
      </c>
      <c r="F113" s="39" t="s">
        <v>459</v>
      </c>
      <c r="G113" s="39" t="s">
        <v>82</v>
      </c>
      <c r="H113" s="7" t="s">
        <v>998</v>
      </c>
      <c r="I113" s="7" t="s">
        <v>999</v>
      </c>
      <c r="J113" s="7" t="s">
        <v>1000</v>
      </c>
      <c r="K113" s="50" t="s">
        <v>877</v>
      </c>
      <c r="L113" s="50" t="s">
        <v>153</v>
      </c>
      <c r="M113" s="50" t="s">
        <v>210</v>
      </c>
      <c r="N113" s="81">
        <v>0</v>
      </c>
      <c r="O113" s="81">
        <v>0</v>
      </c>
      <c r="P113" s="81">
        <f>60000/1000</f>
        <v>60</v>
      </c>
      <c r="Q113" s="81">
        <v>0</v>
      </c>
      <c r="R113" s="82">
        <v>0</v>
      </c>
      <c r="S113" s="82">
        <v>0</v>
      </c>
    </row>
    <row r="114" spans="1:19" s="3" customFormat="1" ht="92.25" customHeight="1">
      <c r="A114" s="66"/>
      <c r="B114" s="53" t="s">
        <v>964</v>
      </c>
      <c r="C114" s="12"/>
      <c r="D114" s="73" t="s">
        <v>35</v>
      </c>
      <c r="E114" s="39" t="s">
        <v>81</v>
      </c>
      <c r="F114" s="39" t="s">
        <v>459</v>
      </c>
      <c r="G114" s="39" t="s">
        <v>82</v>
      </c>
      <c r="H114" s="7" t="s">
        <v>995</v>
      </c>
      <c r="I114" s="7" t="s">
        <v>996</v>
      </c>
      <c r="J114" s="7" t="s">
        <v>997</v>
      </c>
      <c r="K114" s="50" t="s">
        <v>877</v>
      </c>
      <c r="L114" s="50" t="s">
        <v>153</v>
      </c>
      <c r="M114" s="50" t="s">
        <v>210</v>
      </c>
      <c r="N114" s="81">
        <v>0</v>
      </c>
      <c r="O114" s="81">
        <v>0</v>
      </c>
      <c r="P114" s="81">
        <f>49500/1000</f>
        <v>49.5</v>
      </c>
      <c r="Q114" s="81">
        <v>0</v>
      </c>
      <c r="R114" s="82">
        <v>0</v>
      </c>
      <c r="S114" s="82">
        <v>0</v>
      </c>
    </row>
    <row r="115" spans="1:19" s="3" customFormat="1" ht="86.25" customHeight="1">
      <c r="A115" s="66"/>
      <c r="B115" s="53" t="s">
        <v>1051</v>
      </c>
      <c r="C115" s="12"/>
      <c r="D115" s="73" t="s">
        <v>376</v>
      </c>
      <c r="E115" s="39" t="s">
        <v>81</v>
      </c>
      <c r="F115" s="39" t="s">
        <v>459</v>
      </c>
      <c r="G115" s="39" t="s">
        <v>82</v>
      </c>
      <c r="H115" s="7" t="s">
        <v>1052</v>
      </c>
      <c r="I115" s="7" t="s">
        <v>1053</v>
      </c>
      <c r="J115" s="7" t="s">
        <v>1054</v>
      </c>
      <c r="K115" s="52" t="s">
        <v>1055</v>
      </c>
      <c r="L115" s="52" t="s">
        <v>30</v>
      </c>
      <c r="M115" s="52" t="s">
        <v>1056</v>
      </c>
      <c r="N115" s="81">
        <v>0</v>
      </c>
      <c r="O115" s="81">
        <v>0</v>
      </c>
      <c r="P115" s="81">
        <f>70000/1000</f>
        <v>70</v>
      </c>
      <c r="Q115" s="81">
        <v>0</v>
      </c>
      <c r="R115" s="82">
        <v>0</v>
      </c>
      <c r="S115" s="82">
        <v>0</v>
      </c>
    </row>
    <row r="116" spans="1:19" s="3" customFormat="1" ht="99.75" customHeight="1">
      <c r="A116" s="66"/>
      <c r="B116" s="53" t="s">
        <v>1057</v>
      </c>
      <c r="C116" s="12"/>
      <c r="D116" s="73" t="s">
        <v>35</v>
      </c>
      <c r="E116" s="39" t="s">
        <v>81</v>
      </c>
      <c r="F116" s="39" t="s">
        <v>459</v>
      </c>
      <c r="G116" s="39" t="s">
        <v>82</v>
      </c>
      <c r="H116" s="7" t="s">
        <v>1058</v>
      </c>
      <c r="I116" s="7" t="s">
        <v>1059</v>
      </c>
      <c r="J116" s="7" t="s">
        <v>1069</v>
      </c>
      <c r="K116" s="52" t="s">
        <v>1060</v>
      </c>
      <c r="L116" s="52" t="s">
        <v>30</v>
      </c>
      <c r="M116" s="52" t="s">
        <v>1061</v>
      </c>
      <c r="N116" s="81">
        <v>0</v>
      </c>
      <c r="O116" s="81">
        <v>0</v>
      </c>
      <c r="P116" s="81">
        <f>379855/1000</f>
        <v>379.855</v>
      </c>
      <c r="Q116" s="81">
        <v>0</v>
      </c>
      <c r="R116" s="82">
        <v>0</v>
      </c>
      <c r="S116" s="82">
        <v>0</v>
      </c>
    </row>
    <row r="117" spans="1:19" s="3" customFormat="1" ht="99.75" customHeight="1">
      <c r="A117" s="66"/>
      <c r="B117" s="53" t="s">
        <v>1062</v>
      </c>
      <c r="C117" s="12"/>
      <c r="D117" s="73" t="s">
        <v>35</v>
      </c>
      <c r="E117" s="39" t="s">
        <v>81</v>
      </c>
      <c r="F117" s="39" t="s">
        <v>459</v>
      </c>
      <c r="G117" s="39" t="s">
        <v>82</v>
      </c>
      <c r="H117" s="7" t="s">
        <v>1063</v>
      </c>
      <c r="I117" s="7" t="s">
        <v>1064</v>
      </c>
      <c r="J117" s="7" t="s">
        <v>1070</v>
      </c>
      <c r="K117" s="52" t="s">
        <v>1065</v>
      </c>
      <c r="L117" s="52" t="s">
        <v>30</v>
      </c>
      <c r="M117" s="52" t="s">
        <v>1056</v>
      </c>
      <c r="N117" s="81">
        <v>0</v>
      </c>
      <c r="O117" s="81">
        <v>0</v>
      </c>
      <c r="P117" s="81">
        <f>97129/1000</f>
        <v>97.129</v>
      </c>
      <c r="Q117" s="81">
        <v>0</v>
      </c>
      <c r="R117" s="82">
        <v>0</v>
      </c>
      <c r="S117" s="82">
        <v>0</v>
      </c>
    </row>
    <row r="118" spans="1:19" s="3" customFormat="1" ht="99.75" customHeight="1">
      <c r="A118" s="66"/>
      <c r="B118" s="53" t="s">
        <v>1066</v>
      </c>
      <c r="C118" s="12"/>
      <c r="D118" s="73" t="s">
        <v>35</v>
      </c>
      <c r="E118" s="39" t="s">
        <v>81</v>
      </c>
      <c r="F118" s="39" t="s">
        <v>459</v>
      </c>
      <c r="G118" s="39" t="s">
        <v>82</v>
      </c>
      <c r="H118" s="7" t="s">
        <v>1067</v>
      </c>
      <c r="I118" s="7" t="s">
        <v>1068</v>
      </c>
      <c r="J118" s="7" t="s">
        <v>1071</v>
      </c>
      <c r="K118" s="52" t="s">
        <v>1072</v>
      </c>
      <c r="L118" s="52" t="s">
        <v>30</v>
      </c>
      <c r="M118" s="52" t="s">
        <v>1073</v>
      </c>
      <c r="N118" s="81">
        <v>0</v>
      </c>
      <c r="O118" s="81">
        <v>0</v>
      </c>
      <c r="P118" s="81">
        <f>148190/1000</f>
        <v>148.19</v>
      </c>
      <c r="Q118" s="81">
        <v>0</v>
      </c>
      <c r="R118" s="82">
        <v>0</v>
      </c>
      <c r="S118" s="82">
        <v>0</v>
      </c>
    </row>
    <row r="119" spans="1:19" s="3" customFormat="1" ht="87.75" customHeight="1">
      <c r="A119" s="66"/>
      <c r="B119" s="53" t="s">
        <v>1074</v>
      </c>
      <c r="C119" s="12"/>
      <c r="D119" s="73" t="s">
        <v>35</v>
      </c>
      <c r="E119" s="39" t="s">
        <v>81</v>
      </c>
      <c r="F119" s="39" t="s">
        <v>459</v>
      </c>
      <c r="G119" s="39" t="s">
        <v>82</v>
      </c>
      <c r="H119" s="7" t="s">
        <v>1077</v>
      </c>
      <c r="I119" s="7" t="s">
        <v>421</v>
      </c>
      <c r="J119" s="7" t="s">
        <v>732</v>
      </c>
      <c r="K119" s="52" t="s">
        <v>1075</v>
      </c>
      <c r="L119" s="52" t="s">
        <v>421</v>
      </c>
      <c r="M119" s="52" t="s">
        <v>1076</v>
      </c>
      <c r="N119" s="81">
        <v>0</v>
      </c>
      <c r="O119" s="81">
        <v>0</v>
      </c>
      <c r="P119" s="81">
        <f>2768000/1000</f>
        <v>2768</v>
      </c>
      <c r="Q119" s="81">
        <v>0</v>
      </c>
      <c r="R119" s="82">
        <v>0</v>
      </c>
      <c r="S119" s="82">
        <v>0</v>
      </c>
    </row>
    <row r="120" spans="1:19" s="3" customFormat="1" ht="111.75" customHeight="1">
      <c r="A120" s="66"/>
      <c r="B120" s="54" t="s">
        <v>907</v>
      </c>
      <c r="C120" s="12"/>
      <c r="D120" s="73" t="s">
        <v>35</v>
      </c>
      <c r="E120" s="39" t="s">
        <v>81</v>
      </c>
      <c r="F120" s="39" t="s">
        <v>459</v>
      </c>
      <c r="G120" s="39" t="s">
        <v>82</v>
      </c>
      <c r="H120" s="7" t="s">
        <v>908</v>
      </c>
      <c r="I120" s="7" t="s">
        <v>30</v>
      </c>
      <c r="J120" s="7" t="s">
        <v>711</v>
      </c>
      <c r="K120" s="52" t="s">
        <v>909</v>
      </c>
      <c r="L120" s="52" t="s">
        <v>341</v>
      </c>
      <c r="M120" s="100" t="s">
        <v>711</v>
      </c>
      <c r="N120" s="81">
        <v>0</v>
      </c>
      <c r="O120" s="81">
        <v>0</v>
      </c>
      <c r="P120" s="81">
        <f>3043656/1000</f>
        <v>3043.656</v>
      </c>
      <c r="Q120" s="81">
        <v>0</v>
      </c>
      <c r="R120" s="82">
        <v>0</v>
      </c>
      <c r="S120" s="82">
        <v>0</v>
      </c>
    </row>
    <row r="121" spans="1:19" s="3" customFormat="1" ht="84" customHeight="1">
      <c r="A121" s="67"/>
      <c r="B121" s="123" t="s">
        <v>1090</v>
      </c>
      <c r="C121" s="37"/>
      <c r="D121" s="74" t="s">
        <v>376</v>
      </c>
      <c r="E121" s="39" t="s">
        <v>81</v>
      </c>
      <c r="F121" s="39" t="s">
        <v>459</v>
      </c>
      <c r="G121" s="39" t="s">
        <v>82</v>
      </c>
      <c r="H121" s="39" t="s">
        <v>730</v>
      </c>
      <c r="I121" s="39" t="s">
        <v>1091</v>
      </c>
      <c r="J121" s="39" t="s">
        <v>732</v>
      </c>
      <c r="K121" s="59" t="s">
        <v>1092</v>
      </c>
      <c r="L121" s="59" t="s">
        <v>421</v>
      </c>
      <c r="M121" s="59" t="s">
        <v>1093</v>
      </c>
      <c r="N121" s="83"/>
      <c r="O121" s="83"/>
      <c r="P121" s="83">
        <f>1193400/1000</f>
        <v>1193.4</v>
      </c>
      <c r="Q121" s="81"/>
      <c r="R121" s="82"/>
      <c r="S121" s="82"/>
    </row>
    <row r="122" spans="1:19" s="3" customFormat="1" ht="75.75" customHeight="1">
      <c r="A122" s="66"/>
      <c r="B122" s="54" t="s">
        <v>1100</v>
      </c>
      <c r="C122" s="12"/>
      <c r="D122" s="73" t="s">
        <v>35</v>
      </c>
      <c r="E122" s="39" t="s">
        <v>81</v>
      </c>
      <c r="F122" s="39" t="s">
        <v>459</v>
      </c>
      <c r="G122" s="39" t="s">
        <v>82</v>
      </c>
      <c r="H122" s="7" t="s">
        <v>1103</v>
      </c>
      <c r="I122" s="7" t="s">
        <v>421</v>
      </c>
      <c r="J122" s="7" t="s">
        <v>1104</v>
      </c>
      <c r="K122" s="52" t="s">
        <v>1101</v>
      </c>
      <c r="L122" s="52" t="s">
        <v>421</v>
      </c>
      <c r="M122" s="52" t="s">
        <v>1102</v>
      </c>
      <c r="N122" s="81"/>
      <c r="O122" s="81"/>
      <c r="P122" s="81">
        <f>8859340/1000</f>
        <v>8859.34</v>
      </c>
      <c r="Q122" s="81"/>
      <c r="R122" s="82"/>
      <c r="S122" s="82"/>
    </row>
    <row r="123" spans="1:19" s="3" customFormat="1" ht="88.5" customHeight="1">
      <c r="A123" s="66"/>
      <c r="B123" s="54" t="s">
        <v>1094</v>
      </c>
      <c r="C123" s="12"/>
      <c r="D123" s="73" t="s">
        <v>35</v>
      </c>
      <c r="E123" s="39" t="s">
        <v>81</v>
      </c>
      <c r="F123" s="39" t="s">
        <v>459</v>
      </c>
      <c r="G123" s="39" t="s">
        <v>82</v>
      </c>
      <c r="H123" s="7" t="s">
        <v>1097</v>
      </c>
      <c r="I123" s="7" t="s">
        <v>1098</v>
      </c>
      <c r="J123" s="7" t="s">
        <v>1099</v>
      </c>
      <c r="K123" s="52" t="s">
        <v>1095</v>
      </c>
      <c r="L123" s="52" t="s">
        <v>30</v>
      </c>
      <c r="M123" s="52" t="s">
        <v>1096</v>
      </c>
      <c r="N123" s="81"/>
      <c r="O123" s="81"/>
      <c r="P123" s="81">
        <f>72000/1000</f>
        <v>72</v>
      </c>
      <c r="Q123" s="81"/>
      <c r="R123" s="82"/>
      <c r="S123" s="82"/>
    </row>
    <row r="124" spans="1:19" s="2" customFormat="1" ht="95.25" customHeight="1">
      <c r="A124" s="65" t="s">
        <v>85</v>
      </c>
      <c r="B124" s="20" t="s">
        <v>384</v>
      </c>
      <c r="C124" s="18"/>
      <c r="D124" s="73"/>
      <c r="E124" s="7"/>
      <c r="F124" s="7"/>
      <c r="G124" s="7"/>
      <c r="H124" s="7"/>
      <c r="I124" s="7"/>
      <c r="J124" s="7"/>
      <c r="K124" s="34"/>
      <c r="L124" s="7"/>
      <c r="M124" s="7"/>
      <c r="N124" s="80">
        <f>SUM(N125:N156)</f>
        <v>76175.58214000001</v>
      </c>
      <c r="O124" s="80">
        <f>SUM(O125:O156)</f>
        <v>76160.11214</v>
      </c>
      <c r="P124" s="80">
        <f>SUM(P125:P156)</f>
        <v>97206.89646999999</v>
      </c>
      <c r="Q124" s="80">
        <f>SUM(Q125:Q156)</f>
        <v>7342.7</v>
      </c>
      <c r="R124" s="80">
        <f>SUM(R125:R156)</f>
        <v>7805.099999999999</v>
      </c>
      <c r="S124" s="80">
        <f>SUM(S125:S156)</f>
        <v>7284.4</v>
      </c>
    </row>
    <row r="125" spans="1:19" s="3" customFormat="1" ht="63.75" customHeight="1">
      <c r="A125" s="66"/>
      <c r="B125" s="61" t="s">
        <v>687</v>
      </c>
      <c r="C125" s="12"/>
      <c r="D125" s="73" t="s">
        <v>187</v>
      </c>
      <c r="E125" s="7" t="s">
        <v>81</v>
      </c>
      <c r="F125" s="7" t="s">
        <v>28</v>
      </c>
      <c r="G125" s="7" t="s">
        <v>82</v>
      </c>
      <c r="H125" s="7"/>
      <c r="I125" s="7"/>
      <c r="J125" s="7"/>
      <c r="K125" s="7" t="s">
        <v>688</v>
      </c>
      <c r="L125" s="7" t="s">
        <v>333</v>
      </c>
      <c r="M125" s="10" t="s">
        <v>566</v>
      </c>
      <c r="N125" s="81">
        <f>567500/1000</f>
        <v>567.5</v>
      </c>
      <c r="O125" s="81">
        <f>567350/1000</f>
        <v>567.35</v>
      </c>
      <c r="P125" s="81">
        <f>691999.34/1000</f>
        <v>691.99934</v>
      </c>
      <c r="Q125" s="81">
        <f>761000/1000</f>
        <v>761</v>
      </c>
      <c r="R125" s="82">
        <v>805.1</v>
      </c>
      <c r="S125" s="82">
        <v>0</v>
      </c>
    </row>
    <row r="126" spans="1:19" s="3" customFormat="1" ht="13.5" customHeight="1">
      <c r="A126" s="188"/>
      <c r="B126" s="187" t="s">
        <v>70</v>
      </c>
      <c r="C126" s="12"/>
      <c r="D126" s="74" t="s">
        <v>187</v>
      </c>
      <c r="E126" s="151" t="s">
        <v>81</v>
      </c>
      <c r="F126" s="151" t="s">
        <v>28</v>
      </c>
      <c r="G126" s="151" t="s">
        <v>82</v>
      </c>
      <c r="H126" s="39"/>
      <c r="I126" s="39"/>
      <c r="J126" s="39"/>
      <c r="K126" s="151" t="s">
        <v>1174</v>
      </c>
      <c r="L126" s="151" t="s">
        <v>84</v>
      </c>
      <c r="M126" s="154" t="s">
        <v>63</v>
      </c>
      <c r="N126" s="83">
        <f>22047273.14/1000</f>
        <v>22047.27314</v>
      </c>
      <c r="O126" s="83">
        <f>22043572.94/1000</f>
        <v>22043.572940000002</v>
      </c>
      <c r="P126" s="83">
        <f>31872913.57/1000</f>
        <v>31872.91357</v>
      </c>
      <c r="Q126" s="148"/>
      <c r="R126" s="178"/>
      <c r="S126" s="178"/>
    </row>
    <row r="127" spans="1:19" s="3" customFormat="1" ht="13.5" customHeight="1">
      <c r="A127" s="188"/>
      <c r="B127" s="187"/>
      <c r="C127" s="12"/>
      <c r="D127" s="75" t="s">
        <v>437</v>
      </c>
      <c r="E127" s="152"/>
      <c r="F127" s="152"/>
      <c r="G127" s="152"/>
      <c r="H127" s="40"/>
      <c r="I127" s="40"/>
      <c r="J127" s="40"/>
      <c r="K127" s="152"/>
      <c r="L127" s="152"/>
      <c r="M127" s="155"/>
      <c r="N127" s="84">
        <f>(593203+113961.3)/1000</f>
        <v>707.1643</v>
      </c>
      <c r="O127" s="84">
        <f>(593134.16+113961.3)/1000</f>
        <v>707.0954600000001</v>
      </c>
      <c r="P127" s="84">
        <f>991059.78/1000</f>
        <v>991.05978</v>
      </c>
      <c r="Q127" s="149"/>
      <c r="R127" s="192"/>
      <c r="S127" s="192"/>
    </row>
    <row r="128" spans="1:19" s="3" customFormat="1" ht="13.5" customHeight="1">
      <c r="A128" s="188"/>
      <c r="B128" s="187"/>
      <c r="C128" s="12"/>
      <c r="D128" s="167" t="s">
        <v>246</v>
      </c>
      <c r="E128" s="152"/>
      <c r="F128" s="152"/>
      <c r="G128" s="152"/>
      <c r="H128" s="40"/>
      <c r="I128" s="40"/>
      <c r="J128" s="40"/>
      <c r="K128" s="152"/>
      <c r="L128" s="152"/>
      <c r="M128" s="155"/>
      <c r="N128" s="84">
        <f>(1394663.7+1469200)/1000</f>
        <v>2863.8637000000003</v>
      </c>
      <c r="O128" s="84">
        <f>(1394631.41+1469200)/1000</f>
        <v>2863.8314100000002</v>
      </c>
      <c r="P128" s="84">
        <f>2204143.48/1000</f>
        <v>2204.14348</v>
      </c>
      <c r="Q128" s="149"/>
      <c r="R128" s="192"/>
      <c r="S128" s="192"/>
    </row>
    <row r="129" spans="1:19" s="3" customFormat="1" ht="13.5" customHeight="1">
      <c r="A129" s="188"/>
      <c r="B129" s="187"/>
      <c r="C129" s="12"/>
      <c r="D129" s="167"/>
      <c r="E129" s="152"/>
      <c r="F129" s="152"/>
      <c r="G129" s="152"/>
      <c r="H129" s="40"/>
      <c r="I129" s="40"/>
      <c r="J129" s="40"/>
      <c r="K129" s="152"/>
      <c r="L129" s="152"/>
      <c r="M129" s="155"/>
      <c r="N129" s="84">
        <f>373400/1000</f>
        <v>373.4</v>
      </c>
      <c r="O129" s="84">
        <f>373400/1000</f>
        <v>373.4</v>
      </c>
      <c r="P129" s="84">
        <v>0</v>
      </c>
      <c r="Q129" s="149"/>
      <c r="R129" s="192"/>
      <c r="S129" s="192"/>
    </row>
    <row r="130" spans="1:19" s="3" customFormat="1" ht="13.5" customHeight="1">
      <c r="A130" s="188"/>
      <c r="B130" s="187"/>
      <c r="C130" s="12"/>
      <c r="D130" s="167" t="s">
        <v>438</v>
      </c>
      <c r="E130" s="152"/>
      <c r="F130" s="152"/>
      <c r="G130" s="152"/>
      <c r="H130" s="40"/>
      <c r="I130" s="40"/>
      <c r="J130" s="40"/>
      <c r="K130" s="152"/>
      <c r="L130" s="152"/>
      <c r="M130" s="155"/>
      <c r="N130" s="84">
        <f>896798.7/1000</f>
        <v>896.7986999999999</v>
      </c>
      <c r="O130" s="84">
        <f>896798.7/1000</f>
        <v>896.7986999999999</v>
      </c>
      <c r="P130" s="84">
        <v>0</v>
      </c>
      <c r="Q130" s="149"/>
      <c r="R130" s="192"/>
      <c r="S130" s="192"/>
    </row>
    <row r="131" spans="1:19" s="3" customFormat="1" ht="13.5" customHeight="1">
      <c r="A131" s="188"/>
      <c r="B131" s="187"/>
      <c r="C131" s="12"/>
      <c r="D131" s="167"/>
      <c r="E131" s="152"/>
      <c r="F131" s="152"/>
      <c r="G131" s="152"/>
      <c r="H131" s="40"/>
      <c r="I131" s="40"/>
      <c r="J131" s="40"/>
      <c r="K131" s="152"/>
      <c r="L131" s="152"/>
      <c r="M131" s="155"/>
      <c r="N131" s="84">
        <f>22743214.72/1000</f>
        <v>22743.21472</v>
      </c>
      <c r="O131" s="84">
        <f>22742361.31/1000</f>
        <v>22742.36131</v>
      </c>
      <c r="P131" s="84">
        <f>26259516.18/1000</f>
        <v>26259.51618</v>
      </c>
      <c r="Q131" s="149"/>
      <c r="R131" s="192"/>
      <c r="S131" s="192"/>
    </row>
    <row r="132" spans="1:19" s="3" customFormat="1" ht="13.5" customHeight="1">
      <c r="A132" s="188"/>
      <c r="B132" s="187"/>
      <c r="C132" s="12"/>
      <c r="D132" s="167" t="s">
        <v>187</v>
      </c>
      <c r="E132" s="152"/>
      <c r="F132" s="152"/>
      <c r="G132" s="152"/>
      <c r="H132" s="40"/>
      <c r="I132" s="40"/>
      <c r="J132" s="40"/>
      <c r="K132" s="152"/>
      <c r="L132" s="152"/>
      <c r="M132" s="155"/>
      <c r="N132" s="84">
        <f>1007398/1000</f>
        <v>1007.398</v>
      </c>
      <c r="O132" s="84">
        <f>1007289.95/1000</f>
        <v>1007.28995</v>
      </c>
      <c r="P132" s="84">
        <f>1435193.45/1000</f>
        <v>1435.19345</v>
      </c>
      <c r="Q132" s="84">
        <v>1510.2</v>
      </c>
      <c r="R132" s="99">
        <v>1641.3</v>
      </c>
      <c r="S132" s="99">
        <v>1736.2</v>
      </c>
    </row>
    <row r="133" spans="1:19" s="3" customFormat="1" ht="13.5" customHeight="1">
      <c r="A133" s="188"/>
      <c r="B133" s="187"/>
      <c r="C133" s="12"/>
      <c r="D133" s="167"/>
      <c r="E133" s="152"/>
      <c r="F133" s="152"/>
      <c r="G133" s="152"/>
      <c r="H133" s="40"/>
      <c r="I133" s="40"/>
      <c r="J133" s="40"/>
      <c r="K133" s="152"/>
      <c r="L133" s="152"/>
      <c r="M133" s="155"/>
      <c r="N133" s="84">
        <f>147000/1000</f>
        <v>147</v>
      </c>
      <c r="O133" s="84">
        <f>147000/1000</f>
        <v>147</v>
      </c>
      <c r="P133" s="84">
        <f>156000/1000</f>
        <v>156</v>
      </c>
      <c r="Q133" s="84">
        <v>165.4</v>
      </c>
      <c r="R133" s="99">
        <v>175.2</v>
      </c>
      <c r="S133" s="99">
        <v>184.3</v>
      </c>
    </row>
    <row r="134" spans="1:19" s="3" customFormat="1" ht="13.5" customHeight="1">
      <c r="A134" s="188"/>
      <c r="B134" s="187"/>
      <c r="C134" s="12"/>
      <c r="D134" s="167"/>
      <c r="E134" s="152"/>
      <c r="F134" s="152"/>
      <c r="G134" s="152"/>
      <c r="H134" s="40"/>
      <c r="I134" s="40"/>
      <c r="J134" s="40"/>
      <c r="K134" s="152"/>
      <c r="L134" s="152"/>
      <c r="M134" s="155"/>
      <c r="N134" s="84">
        <f>3335640/1000</f>
        <v>3335.64</v>
      </c>
      <c r="O134" s="84">
        <f>3335640/1000</f>
        <v>3335.64</v>
      </c>
      <c r="P134" s="84">
        <v>0</v>
      </c>
      <c r="Q134" s="84">
        <v>0</v>
      </c>
      <c r="R134" s="99">
        <v>0</v>
      </c>
      <c r="S134" s="99">
        <v>0</v>
      </c>
    </row>
    <row r="135" spans="1:19" s="3" customFormat="1" ht="12" customHeight="1">
      <c r="A135" s="188"/>
      <c r="B135" s="187"/>
      <c r="C135" s="12"/>
      <c r="D135" s="167"/>
      <c r="E135" s="152"/>
      <c r="F135" s="152"/>
      <c r="G135" s="152"/>
      <c r="H135" s="40"/>
      <c r="I135" s="40"/>
      <c r="J135" s="40"/>
      <c r="K135" s="152" t="s">
        <v>1175</v>
      </c>
      <c r="L135" s="152" t="s">
        <v>421</v>
      </c>
      <c r="M135" s="155" t="s">
        <v>210</v>
      </c>
      <c r="N135" s="84">
        <f>37555/1000</f>
        <v>37.555</v>
      </c>
      <c r="O135" s="84">
        <f>37555/1000</f>
        <v>37.555</v>
      </c>
      <c r="P135" s="84">
        <v>0</v>
      </c>
      <c r="Q135" s="84">
        <v>0</v>
      </c>
      <c r="R135" s="99">
        <v>0</v>
      </c>
      <c r="S135" s="99">
        <v>0</v>
      </c>
    </row>
    <row r="136" spans="1:19" s="3" customFormat="1" ht="12" customHeight="1">
      <c r="A136" s="188"/>
      <c r="B136" s="187"/>
      <c r="C136" s="12"/>
      <c r="D136" s="167"/>
      <c r="E136" s="152" t="s">
        <v>770</v>
      </c>
      <c r="F136" s="152" t="s">
        <v>771</v>
      </c>
      <c r="G136" s="152" t="s">
        <v>772</v>
      </c>
      <c r="H136" s="40"/>
      <c r="I136" s="40"/>
      <c r="J136" s="40"/>
      <c r="K136" s="152"/>
      <c r="L136" s="152"/>
      <c r="M136" s="155"/>
      <c r="N136" s="84">
        <f>1352500/1000</f>
        <v>1352.5</v>
      </c>
      <c r="O136" s="84">
        <f>1352500/1000</f>
        <v>1352.5</v>
      </c>
      <c r="P136" s="84"/>
      <c r="Q136" s="84">
        <v>506.1</v>
      </c>
      <c r="R136" s="99">
        <v>524.3</v>
      </c>
      <c r="S136" s="99">
        <v>563.4</v>
      </c>
    </row>
    <row r="137" spans="1:19" s="3" customFormat="1" ht="12" customHeight="1">
      <c r="A137" s="188"/>
      <c r="B137" s="187"/>
      <c r="C137" s="12"/>
      <c r="D137" s="167"/>
      <c r="E137" s="152"/>
      <c r="F137" s="152"/>
      <c r="G137" s="152"/>
      <c r="H137" s="40"/>
      <c r="I137" s="40"/>
      <c r="J137" s="40"/>
      <c r="K137" s="152"/>
      <c r="L137" s="152"/>
      <c r="M137" s="155"/>
      <c r="N137" s="84">
        <f>683750.88/1000</f>
        <v>683.75088</v>
      </c>
      <c r="O137" s="84">
        <f>683750.88/1000</f>
        <v>683.75088</v>
      </c>
      <c r="P137" s="84">
        <f>984000/1000</f>
        <v>984</v>
      </c>
      <c r="Q137" s="84">
        <v>1043</v>
      </c>
      <c r="R137" s="99">
        <v>1104.5</v>
      </c>
      <c r="S137" s="99">
        <v>1162</v>
      </c>
    </row>
    <row r="138" spans="1:19" s="3" customFormat="1" ht="12" customHeight="1">
      <c r="A138" s="188"/>
      <c r="B138" s="187"/>
      <c r="C138" s="12"/>
      <c r="D138" s="202" t="s">
        <v>246</v>
      </c>
      <c r="E138" s="152"/>
      <c r="F138" s="152"/>
      <c r="G138" s="152"/>
      <c r="H138" s="40"/>
      <c r="I138" s="40"/>
      <c r="J138" s="40"/>
      <c r="K138" s="152"/>
      <c r="L138" s="152"/>
      <c r="M138" s="155"/>
      <c r="N138" s="84">
        <f>1594800/1000</f>
        <v>1594.8</v>
      </c>
      <c r="O138" s="84">
        <f>1594800/1000</f>
        <v>1594.8</v>
      </c>
      <c r="P138" s="104"/>
      <c r="Q138" s="84"/>
      <c r="R138" s="99"/>
      <c r="S138" s="99"/>
    </row>
    <row r="139" spans="1:19" s="3" customFormat="1" ht="12" customHeight="1">
      <c r="A139" s="188"/>
      <c r="B139" s="187"/>
      <c r="C139" s="12"/>
      <c r="D139" s="202"/>
      <c r="E139" s="152"/>
      <c r="F139" s="152"/>
      <c r="G139" s="152"/>
      <c r="H139" s="40"/>
      <c r="I139" s="40"/>
      <c r="J139" s="40"/>
      <c r="K139" s="152"/>
      <c r="L139" s="152"/>
      <c r="M139" s="155"/>
      <c r="N139" s="84">
        <f>8816014.7/1000</f>
        <v>8816.0147</v>
      </c>
      <c r="O139" s="84">
        <f>8811957.26/1000</f>
        <v>8811.95726</v>
      </c>
      <c r="P139" s="84">
        <f>11527549.05/1000</f>
        <v>11527.549050000001</v>
      </c>
      <c r="Q139" s="84"/>
      <c r="R139" s="99"/>
      <c r="S139" s="99"/>
    </row>
    <row r="140" spans="1:19" s="3" customFormat="1" ht="12" customHeight="1">
      <c r="A140" s="188"/>
      <c r="B140" s="187"/>
      <c r="C140" s="12"/>
      <c r="D140" s="202"/>
      <c r="E140" s="152"/>
      <c r="F140" s="152"/>
      <c r="G140" s="152"/>
      <c r="H140" s="40"/>
      <c r="I140" s="40"/>
      <c r="J140" s="40"/>
      <c r="K140" s="152"/>
      <c r="L140" s="152"/>
      <c r="M140" s="155"/>
      <c r="N140" s="84"/>
      <c r="O140" s="84"/>
      <c r="P140" s="84"/>
      <c r="Q140" s="84"/>
      <c r="R140" s="99"/>
      <c r="S140" s="99"/>
    </row>
    <row r="141" spans="1:19" s="3" customFormat="1" ht="149.25" customHeight="1">
      <c r="A141" s="188"/>
      <c r="B141" s="187"/>
      <c r="C141" s="12"/>
      <c r="D141" s="77" t="s">
        <v>187</v>
      </c>
      <c r="E141" s="153"/>
      <c r="F141" s="153"/>
      <c r="G141" s="153"/>
      <c r="H141" s="41"/>
      <c r="I141" s="41"/>
      <c r="J141" s="41"/>
      <c r="K141" s="41" t="s">
        <v>312</v>
      </c>
      <c r="L141" s="41" t="s">
        <v>499</v>
      </c>
      <c r="M141" s="42" t="s">
        <v>447</v>
      </c>
      <c r="N141" s="89">
        <f>77509/1000</f>
        <v>77.509</v>
      </c>
      <c r="O141" s="89">
        <f>76205/1000</f>
        <v>76.205</v>
      </c>
      <c r="P141" s="89">
        <v>0</v>
      </c>
      <c r="Q141" s="89">
        <v>0</v>
      </c>
      <c r="R141" s="91">
        <v>0</v>
      </c>
      <c r="S141" s="91">
        <v>0</v>
      </c>
    </row>
    <row r="142" spans="1:19" s="3" customFormat="1" ht="49.5" customHeight="1">
      <c r="A142" s="66"/>
      <c r="B142" s="11" t="s">
        <v>505</v>
      </c>
      <c r="C142" s="12"/>
      <c r="D142" s="73" t="s">
        <v>187</v>
      </c>
      <c r="E142" s="39" t="s">
        <v>81</v>
      </c>
      <c r="F142" s="39" t="s">
        <v>28</v>
      </c>
      <c r="G142" s="39" t="s">
        <v>82</v>
      </c>
      <c r="H142" s="7"/>
      <c r="I142" s="7"/>
      <c r="J142" s="7"/>
      <c r="K142" s="7" t="s">
        <v>565</v>
      </c>
      <c r="L142" s="7" t="s">
        <v>333</v>
      </c>
      <c r="M142" s="10" t="s">
        <v>566</v>
      </c>
      <c r="N142" s="89">
        <v>0</v>
      </c>
      <c r="O142" s="89">
        <v>0</v>
      </c>
      <c r="P142" s="81">
        <f>85999.45/1000</f>
        <v>85.99945</v>
      </c>
      <c r="Q142" s="81">
        <v>91</v>
      </c>
      <c r="R142" s="82">
        <v>96</v>
      </c>
      <c r="S142" s="82">
        <v>0</v>
      </c>
    </row>
    <row r="143" spans="1:19" s="3" customFormat="1" ht="108" customHeight="1">
      <c r="A143" s="66"/>
      <c r="B143" s="111" t="s">
        <v>965</v>
      </c>
      <c r="C143" s="12"/>
      <c r="D143" s="74" t="s">
        <v>187</v>
      </c>
      <c r="E143" s="39" t="s">
        <v>81</v>
      </c>
      <c r="F143" s="39" t="s">
        <v>28</v>
      </c>
      <c r="G143" s="39" t="s">
        <v>82</v>
      </c>
      <c r="H143" s="39" t="s">
        <v>989</v>
      </c>
      <c r="I143" s="39" t="s">
        <v>30</v>
      </c>
      <c r="J143" s="39" t="s">
        <v>990</v>
      </c>
      <c r="K143" s="52" t="s">
        <v>708</v>
      </c>
      <c r="L143" s="52" t="s">
        <v>678</v>
      </c>
      <c r="M143" s="100" t="s">
        <v>552</v>
      </c>
      <c r="N143" s="81">
        <v>0</v>
      </c>
      <c r="O143" s="81">
        <v>0</v>
      </c>
      <c r="P143" s="83">
        <f>10417800/1000</f>
        <v>10417.8</v>
      </c>
      <c r="Q143" s="83">
        <v>0</v>
      </c>
      <c r="R143" s="86">
        <v>0</v>
      </c>
      <c r="S143" s="86">
        <v>0</v>
      </c>
    </row>
    <row r="144" spans="1:19" s="3" customFormat="1" ht="72.75" customHeight="1">
      <c r="A144" s="163"/>
      <c r="B144" s="185" t="s">
        <v>966</v>
      </c>
      <c r="C144" s="12"/>
      <c r="D144" s="166" t="s">
        <v>187</v>
      </c>
      <c r="E144" s="151" t="s">
        <v>81</v>
      </c>
      <c r="F144" s="151" t="s">
        <v>28</v>
      </c>
      <c r="G144" s="151" t="s">
        <v>82</v>
      </c>
      <c r="H144" s="151" t="s">
        <v>991</v>
      </c>
      <c r="I144" s="151" t="s">
        <v>992</v>
      </c>
      <c r="J144" s="154" t="s">
        <v>993</v>
      </c>
      <c r="K144" s="50" t="s">
        <v>968</v>
      </c>
      <c r="L144" s="50" t="s">
        <v>30</v>
      </c>
      <c r="M144" s="110" t="s">
        <v>969</v>
      </c>
      <c r="N144" s="148">
        <v>0</v>
      </c>
      <c r="O144" s="148">
        <v>0</v>
      </c>
      <c r="P144" s="148">
        <f>3310000/1000</f>
        <v>3310</v>
      </c>
      <c r="Q144" s="148">
        <v>0</v>
      </c>
      <c r="R144" s="178">
        <v>0</v>
      </c>
      <c r="S144" s="178">
        <v>0</v>
      </c>
    </row>
    <row r="145" spans="1:19" s="3" customFormat="1" ht="66" customHeight="1">
      <c r="A145" s="165"/>
      <c r="B145" s="186"/>
      <c r="C145" s="12"/>
      <c r="D145" s="168"/>
      <c r="E145" s="153"/>
      <c r="F145" s="153"/>
      <c r="G145" s="153"/>
      <c r="H145" s="153"/>
      <c r="I145" s="153"/>
      <c r="J145" s="153"/>
      <c r="K145" s="51" t="s">
        <v>970</v>
      </c>
      <c r="L145" s="51" t="s">
        <v>421</v>
      </c>
      <c r="M145" s="112" t="s">
        <v>971</v>
      </c>
      <c r="N145" s="150"/>
      <c r="O145" s="150"/>
      <c r="P145" s="150"/>
      <c r="Q145" s="150"/>
      <c r="R145" s="179"/>
      <c r="S145" s="179"/>
    </row>
    <row r="146" spans="1:19" s="3" customFormat="1" ht="87.75" customHeight="1">
      <c r="A146" s="66"/>
      <c r="B146" s="111" t="s">
        <v>967</v>
      </c>
      <c r="C146" s="12"/>
      <c r="D146" s="74" t="s">
        <v>187</v>
      </c>
      <c r="E146" s="39" t="s">
        <v>81</v>
      </c>
      <c r="F146" s="39" t="s">
        <v>28</v>
      </c>
      <c r="G146" s="39" t="s">
        <v>82</v>
      </c>
      <c r="H146" s="7" t="s">
        <v>986</v>
      </c>
      <c r="I146" s="7" t="s">
        <v>994</v>
      </c>
      <c r="J146" s="7" t="s">
        <v>988</v>
      </c>
      <c r="K146" s="52" t="s">
        <v>1176</v>
      </c>
      <c r="L146" s="52" t="s">
        <v>499</v>
      </c>
      <c r="M146" s="100" t="s">
        <v>988</v>
      </c>
      <c r="N146" s="81">
        <v>0</v>
      </c>
      <c r="O146" s="81">
        <v>0</v>
      </c>
      <c r="P146" s="83">
        <f>93300/1000</f>
        <v>93.3</v>
      </c>
      <c r="Q146" s="83">
        <v>0</v>
      </c>
      <c r="R146" s="86">
        <v>0</v>
      </c>
      <c r="S146" s="86">
        <v>0</v>
      </c>
    </row>
    <row r="147" spans="1:19" s="3" customFormat="1" ht="114" customHeight="1">
      <c r="A147" s="66"/>
      <c r="B147" s="11" t="s">
        <v>128</v>
      </c>
      <c r="C147" s="12"/>
      <c r="D147" s="74" t="s">
        <v>187</v>
      </c>
      <c r="E147" s="39" t="s">
        <v>81</v>
      </c>
      <c r="F147" s="39" t="s">
        <v>28</v>
      </c>
      <c r="G147" s="39" t="s">
        <v>82</v>
      </c>
      <c r="H147" s="39" t="s">
        <v>159</v>
      </c>
      <c r="I147" s="39" t="s">
        <v>215</v>
      </c>
      <c r="J147" s="39" t="s">
        <v>417</v>
      </c>
      <c r="K147" s="39" t="s">
        <v>464</v>
      </c>
      <c r="L147" s="39" t="s">
        <v>84</v>
      </c>
      <c r="M147" s="49" t="s">
        <v>80</v>
      </c>
      <c r="N147" s="83">
        <f>6414200/1000</f>
        <v>6414.2</v>
      </c>
      <c r="O147" s="83">
        <f>6414016.97/1000</f>
        <v>6414.01697</v>
      </c>
      <c r="P147" s="83">
        <v>0</v>
      </c>
      <c r="Q147" s="83">
        <v>0</v>
      </c>
      <c r="R147" s="83">
        <v>0</v>
      </c>
      <c r="S147" s="83">
        <v>0</v>
      </c>
    </row>
    <row r="148" spans="1:19" s="3" customFormat="1" ht="36.75" customHeight="1">
      <c r="A148" s="163"/>
      <c r="B148" s="157" t="s">
        <v>1078</v>
      </c>
      <c r="C148" s="37"/>
      <c r="D148" s="74" t="s">
        <v>187</v>
      </c>
      <c r="E148" s="151" t="s">
        <v>81</v>
      </c>
      <c r="F148" s="151" t="s">
        <v>28</v>
      </c>
      <c r="G148" s="151" t="s">
        <v>82</v>
      </c>
      <c r="H148" s="151"/>
      <c r="I148" s="151"/>
      <c r="J148" s="151"/>
      <c r="K148" s="151" t="s">
        <v>464</v>
      </c>
      <c r="L148" s="151" t="s">
        <v>84</v>
      </c>
      <c r="M148" s="154" t="s">
        <v>80</v>
      </c>
      <c r="N148" s="83">
        <v>0</v>
      </c>
      <c r="O148" s="83">
        <v>0</v>
      </c>
      <c r="P148" s="83">
        <f>4662619.79/1000</f>
        <v>4662.61979</v>
      </c>
      <c r="Q148" s="83">
        <v>3266</v>
      </c>
      <c r="R148" s="83">
        <v>3458.7</v>
      </c>
      <c r="S148" s="83">
        <v>3638.5</v>
      </c>
    </row>
    <row r="149" spans="1:19" s="3" customFormat="1" ht="36.75" customHeight="1">
      <c r="A149" s="164"/>
      <c r="B149" s="158"/>
      <c r="C149" s="116"/>
      <c r="D149" s="75" t="s">
        <v>246</v>
      </c>
      <c r="E149" s="152"/>
      <c r="F149" s="152"/>
      <c r="G149" s="152"/>
      <c r="H149" s="152"/>
      <c r="I149" s="152"/>
      <c r="J149" s="152"/>
      <c r="K149" s="152"/>
      <c r="L149" s="152"/>
      <c r="M149" s="155"/>
      <c r="N149" s="84">
        <v>0</v>
      </c>
      <c r="O149" s="84">
        <v>0</v>
      </c>
      <c r="P149" s="84">
        <f>1965000/1000</f>
        <v>1965</v>
      </c>
      <c r="Q149" s="84">
        <v>0</v>
      </c>
      <c r="R149" s="84">
        <v>0</v>
      </c>
      <c r="S149" s="84">
        <v>0</v>
      </c>
    </row>
    <row r="150" spans="1:19" s="3" customFormat="1" ht="36.75" customHeight="1">
      <c r="A150" s="165"/>
      <c r="B150" s="159"/>
      <c r="C150" s="38"/>
      <c r="D150" s="77" t="s">
        <v>246</v>
      </c>
      <c r="E150" s="153"/>
      <c r="F150" s="153"/>
      <c r="G150" s="153"/>
      <c r="H150" s="153"/>
      <c r="I150" s="153"/>
      <c r="J150" s="153"/>
      <c r="K150" s="153"/>
      <c r="L150" s="153"/>
      <c r="M150" s="156"/>
      <c r="N150" s="89">
        <v>0</v>
      </c>
      <c r="O150" s="89">
        <v>0</v>
      </c>
      <c r="P150" s="89">
        <f>100000/1000</f>
        <v>100</v>
      </c>
      <c r="Q150" s="89">
        <v>0</v>
      </c>
      <c r="R150" s="89">
        <v>0</v>
      </c>
      <c r="S150" s="89">
        <v>0</v>
      </c>
    </row>
    <row r="151" spans="1:19" s="3" customFormat="1" ht="98.25" customHeight="1">
      <c r="A151" s="69"/>
      <c r="B151" s="53" t="s">
        <v>1144</v>
      </c>
      <c r="C151" s="38"/>
      <c r="D151" s="75" t="s">
        <v>187</v>
      </c>
      <c r="E151" s="7" t="s">
        <v>81</v>
      </c>
      <c r="F151" s="7" t="s">
        <v>28</v>
      </c>
      <c r="G151" s="7" t="s">
        <v>82</v>
      </c>
      <c r="H151" s="7" t="s">
        <v>1158</v>
      </c>
      <c r="I151" s="7" t="s">
        <v>421</v>
      </c>
      <c r="J151" s="7" t="s">
        <v>1177</v>
      </c>
      <c r="K151" s="63" t="s">
        <v>1145</v>
      </c>
      <c r="L151" s="63" t="s">
        <v>499</v>
      </c>
      <c r="M151" s="63" t="s">
        <v>1146</v>
      </c>
      <c r="N151" s="84">
        <v>0</v>
      </c>
      <c r="O151" s="84">
        <v>0</v>
      </c>
      <c r="P151" s="84">
        <f>449802.38/1000</f>
        <v>449.80238</v>
      </c>
      <c r="Q151" s="84">
        <v>0</v>
      </c>
      <c r="R151" s="84">
        <v>0</v>
      </c>
      <c r="S151" s="84">
        <v>0</v>
      </c>
    </row>
    <row r="152" spans="1:19" s="3" customFormat="1" ht="45" customHeight="1">
      <c r="A152" s="188"/>
      <c r="B152" s="187" t="s">
        <v>169</v>
      </c>
      <c r="C152" s="12"/>
      <c r="D152" s="74" t="s">
        <v>187</v>
      </c>
      <c r="E152" s="151" t="s">
        <v>81</v>
      </c>
      <c r="F152" s="151" t="s">
        <v>28</v>
      </c>
      <c r="G152" s="151" t="s">
        <v>82</v>
      </c>
      <c r="H152" s="39"/>
      <c r="I152" s="39"/>
      <c r="J152" s="39"/>
      <c r="K152" s="197" t="s">
        <v>520</v>
      </c>
      <c r="L152" s="151" t="s">
        <v>560</v>
      </c>
      <c r="M152" s="154" t="s">
        <v>561</v>
      </c>
      <c r="N152" s="83">
        <f>269500/1000</f>
        <v>269.5</v>
      </c>
      <c r="O152" s="83">
        <f>269500/1000</f>
        <v>269.5</v>
      </c>
      <c r="P152" s="83">
        <v>0</v>
      </c>
      <c r="Q152" s="83">
        <v>0</v>
      </c>
      <c r="R152" s="83">
        <v>0</v>
      </c>
      <c r="S152" s="83">
        <v>0</v>
      </c>
    </row>
    <row r="153" spans="1:19" s="3" customFormat="1" ht="45" customHeight="1">
      <c r="A153" s="188"/>
      <c r="B153" s="187"/>
      <c r="C153" s="12"/>
      <c r="D153" s="77" t="s">
        <v>438</v>
      </c>
      <c r="E153" s="153"/>
      <c r="F153" s="153"/>
      <c r="G153" s="153"/>
      <c r="H153" s="41"/>
      <c r="I153" s="41"/>
      <c r="J153" s="41"/>
      <c r="K153" s="198"/>
      <c r="L153" s="153"/>
      <c r="M153" s="156"/>
      <c r="N153" s="89">
        <f>1361500/1000</f>
        <v>1361.5</v>
      </c>
      <c r="O153" s="89">
        <f>1361500/1000</f>
        <v>1361.5</v>
      </c>
      <c r="P153" s="89">
        <v>0</v>
      </c>
      <c r="Q153" s="89">
        <v>0</v>
      </c>
      <c r="R153" s="89">
        <v>0</v>
      </c>
      <c r="S153" s="89">
        <v>0</v>
      </c>
    </row>
    <row r="154" spans="1:19" s="3" customFormat="1" ht="44.25" customHeight="1">
      <c r="A154" s="163"/>
      <c r="B154" s="157" t="s">
        <v>433</v>
      </c>
      <c r="C154" s="37"/>
      <c r="D154" s="74" t="s">
        <v>187</v>
      </c>
      <c r="E154" s="151" t="s">
        <v>81</v>
      </c>
      <c r="F154" s="151" t="s">
        <v>28</v>
      </c>
      <c r="G154" s="151" t="s">
        <v>82</v>
      </c>
      <c r="H154" s="39"/>
      <c r="I154" s="39"/>
      <c r="J154" s="39"/>
      <c r="K154" s="197" t="s">
        <v>520</v>
      </c>
      <c r="L154" s="151" t="s">
        <v>230</v>
      </c>
      <c r="M154" s="154" t="s">
        <v>436</v>
      </c>
      <c r="N154" s="83">
        <f>135500/1000</f>
        <v>135.5</v>
      </c>
      <c r="O154" s="83">
        <f>135500/1000</f>
        <v>135.5</v>
      </c>
      <c r="P154" s="83">
        <v>0</v>
      </c>
      <c r="Q154" s="83">
        <v>0</v>
      </c>
      <c r="R154" s="83">
        <v>0</v>
      </c>
      <c r="S154" s="83">
        <v>0</v>
      </c>
    </row>
    <row r="155" spans="1:19" s="3" customFormat="1" ht="44.25" customHeight="1">
      <c r="A155" s="165"/>
      <c r="B155" s="159"/>
      <c r="C155" s="38"/>
      <c r="D155" s="77" t="s">
        <v>438</v>
      </c>
      <c r="E155" s="153"/>
      <c r="F155" s="153"/>
      <c r="G155" s="153"/>
      <c r="H155" s="41"/>
      <c r="I155" s="41"/>
      <c r="J155" s="41"/>
      <c r="K155" s="198"/>
      <c r="L155" s="153"/>
      <c r="M155" s="156"/>
      <c r="N155" s="89">
        <f>603500/1000</f>
        <v>603.5</v>
      </c>
      <c r="O155" s="89">
        <f>603500/1000</f>
        <v>603.5</v>
      </c>
      <c r="P155" s="89">
        <v>0</v>
      </c>
      <c r="Q155" s="89">
        <v>0</v>
      </c>
      <c r="R155" s="89">
        <v>0</v>
      </c>
      <c r="S155" s="89">
        <v>0</v>
      </c>
    </row>
    <row r="156" spans="1:19" s="3" customFormat="1" ht="74.25" customHeight="1">
      <c r="A156" s="69"/>
      <c r="B156" s="54" t="s">
        <v>599</v>
      </c>
      <c r="C156" s="38"/>
      <c r="D156" s="77" t="s">
        <v>187</v>
      </c>
      <c r="E156" s="7" t="s">
        <v>81</v>
      </c>
      <c r="F156" s="7" t="s">
        <v>28</v>
      </c>
      <c r="G156" s="7" t="s">
        <v>82</v>
      </c>
      <c r="H156" s="41" t="s">
        <v>773</v>
      </c>
      <c r="I156" s="41" t="s">
        <v>774</v>
      </c>
      <c r="J156" s="41" t="s">
        <v>775</v>
      </c>
      <c r="K156" s="52" t="s">
        <v>600</v>
      </c>
      <c r="L156" s="55" t="s">
        <v>30</v>
      </c>
      <c r="M156" s="56" t="s">
        <v>205</v>
      </c>
      <c r="N156" s="89">
        <f>140000/1000</f>
        <v>140</v>
      </c>
      <c r="O156" s="89">
        <f>134987.26/1000</f>
        <v>134.98726000000002</v>
      </c>
      <c r="P156" s="89">
        <v>0</v>
      </c>
      <c r="Q156" s="89">
        <v>0</v>
      </c>
      <c r="R156" s="89">
        <v>0</v>
      </c>
      <c r="S156" s="89">
        <v>0</v>
      </c>
    </row>
    <row r="157" spans="1:19" s="2" customFormat="1" ht="19.5">
      <c r="A157" s="65" t="s">
        <v>154</v>
      </c>
      <c r="B157" s="20" t="s">
        <v>449</v>
      </c>
      <c r="C157" s="18"/>
      <c r="D157" s="73"/>
      <c r="E157" s="7"/>
      <c r="F157" s="7"/>
      <c r="G157" s="7"/>
      <c r="H157" s="7"/>
      <c r="I157" s="7"/>
      <c r="J157" s="7"/>
      <c r="K157" s="144"/>
      <c r="L157" s="7"/>
      <c r="M157" s="7"/>
      <c r="N157" s="81"/>
      <c r="O157" s="81"/>
      <c r="P157" s="81"/>
      <c r="Q157" s="87"/>
      <c r="R157" s="117"/>
      <c r="S157" s="117"/>
    </row>
    <row r="158" spans="1:19" s="2" customFormat="1" ht="28.5" customHeight="1">
      <c r="A158" s="65" t="s">
        <v>483</v>
      </c>
      <c r="B158" s="20" t="s">
        <v>361</v>
      </c>
      <c r="C158" s="18"/>
      <c r="D158" s="73"/>
      <c r="E158" s="7"/>
      <c r="F158" s="7"/>
      <c r="G158" s="7"/>
      <c r="H158" s="7"/>
      <c r="I158" s="7"/>
      <c r="J158" s="7"/>
      <c r="K158" s="7"/>
      <c r="L158" s="7"/>
      <c r="M158" s="7"/>
      <c r="N158" s="80">
        <f>SUM(N159:N162)</f>
        <v>2862.94624</v>
      </c>
      <c r="O158" s="80">
        <f>SUM(O159:O162)</f>
        <v>2862.94624</v>
      </c>
      <c r="P158" s="80">
        <f>SUM(P159:P162)</f>
        <v>2098.1</v>
      </c>
      <c r="Q158" s="80">
        <f>SUM(Q159:Q162)</f>
        <v>1802</v>
      </c>
      <c r="R158" s="80">
        <f>SUM(R159:R162)</f>
        <v>1908.3</v>
      </c>
      <c r="S158" s="80">
        <f>SUM(S159:S162)</f>
        <v>2007.6</v>
      </c>
    </row>
    <row r="159" spans="1:19" s="2" customFormat="1" ht="125.25" customHeight="1">
      <c r="A159" s="66"/>
      <c r="B159" s="11" t="s">
        <v>470</v>
      </c>
      <c r="C159" s="12"/>
      <c r="D159" s="73" t="s">
        <v>244</v>
      </c>
      <c r="E159" s="7" t="s">
        <v>81</v>
      </c>
      <c r="F159" s="7" t="s">
        <v>28</v>
      </c>
      <c r="G159" s="7" t="s">
        <v>82</v>
      </c>
      <c r="H159" s="7"/>
      <c r="I159" s="7"/>
      <c r="J159" s="7"/>
      <c r="K159" s="7" t="s">
        <v>370</v>
      </c>
      <c r="L159" s="7" t="s">
        <v>135</v>
      </c>
      <c r="M159" s="7" t="s">
        <v>68</v>
      </c>
      <c r="N159" s="81">
        <f>(1672000+80000)/1000</f>
        <v>1752</v>
      </c>
      <c r="O159" s="81">
        <f>(1672000+80000)/1000</f>
        <v>1752</v>
      </c>
      <c r="P159" s="81">
        <v>0</v>
      </c>
      <c r="Q159" s="81">
        <v>0</v>
      </c>
      <c r="R159" s="82">
        <v>0</v>
      </c>
      <c r="S159" s="82">
        <v>0</v>
      </c>
    </row>
    <row r="160" spans="1:19" s="2" customFormat="1" ht="63" customHeight="1">
      <c r="A160" s="163"/>
      <c r="B160" s="157" t="s">
        <v>470</v>
      </c>
      <c r="C160" s="12"/>
      <c r="D160" s="166" t="s">
        <v>244</v>
      </c>
      <c r="E160" s="151" t="s">
        <v>81</v>
      </c>
      <c r="F160" s="151" t="s">
        <v>28</v>
      </c>
      <c r="G160" s="151" t="s">
        <v>82</v>
      </c>
      <c r="H160" s="151"/>
      <c r="I160" s="151"/>
      <c r="J160" s="145"/>
      <c r="K160" s="59" t="s">
        <v>710</v>
      </c>
      <c r="L160" s="59" t="s">
        <v>30</v>
      </c>
      <c r="M160" s="59" t="s">
        <v>711</v>
      </c>
      <c r="N160" s="205">
        <v>0</v>
      </c>
      <c r="O160" s="148">
        <v>0</v>
      </c>
      <c r="P160" s="148">
        <f>608100/1000</f>
        <v>608.1</v>
      </c>
      <c r="Q160" s="148">
        <v>0</v>
      </c>
      <c r="R160" s="178">
        <v>0</v>
      </c>
      <c r="S160" s="178">
        <v>0</v>
      </c>
    </row>
    <row r="161" spans="1:19" s="2" customFormat="1" ht="75" customHeight="1">
      <c r="A161" s="165"/>
      <c r="B161" s="159"/>
      <c r="C161" s="12"/>
      <c r="D161" s="168"/>
      <c r="E161" s="153"/>
      <c r="F161" s="153"/>
      <c r="G161" s="153"/>
      <c r="H161" s="153"/>
      <c r="I161" s="153"/>
      <c r="J161" s="147"/>
      <c r="K161" s="62" t="s">
        <v>712</v>
      </c>
      <c r="L161" s="62" t="s">
        <v>713</v>
      </c>
      <c r="M161" s="62" t="s">
        <v>711</v>
      </c>
      <c r="N161" s="206"/>
      <c r="O161" s="150"/>
      <c r="P161" s="150"/>
      <c r="Q161" s="150"/>
      <c r="R161" s="179"/>
      <c r="S161" s="179"/>
    </row>
    <row r="162" spans="1:19" s="3" customFormat="1" ht="96.75" customHeight="1">
      <c r="A162" s="66"/>
      <c r="B162" s="11" t="s">
        <v>33</v>
      </c>
      <c r="C162" s="12"/>
      <c r="D162" s="73" t="s">
        <v>34</v>
      </c>
      <c r="E162" s="7" t="s">
        <v>81</v>
      </c>
      <c r="F162" s="7" t="s">
        <v>28</v>
      </c>
      <c r="G162" s="7" t="s">
        <v>82</v>
      </c>
      <c r="H162" s="7"/>
      <c r="I162" s="7"/>
      <c r="J162" s="7"/>
      <c r="K162" s="7" t="s">
        <v>317</v>
      </c>
      <c r="L162" s="7" t="s">
        <v>87</v>
      </c>
      <c r="M162" s="7" t="s">
        <v>257</v>
      </c>
      <c r="N162" s="81">
        <f>1110946.24/1000</f>
        <v>1110.94624</v>
      </c>
      <c r="O162" s="81">
        <f>1110946.24/1000</f>
        <v>1110.94624</v>
      </c>
      <c r="P162" s="81">
        <f>1490000/1000</f>
        <v>1490</v>
      </c>
      <c r="Q162" s="81">
        <v>1802</v>
      </c>
      <c r="R162" s="82">
        <v>1908.3</v>
      </c>
      <c r="S162" s="82">
        <v>2007.6</v>
      </c>
    </row>
    <row r="163" spans="1:19" s="6" customFormat="1" ht="85.5" customHeight="1">
      <c r="A163" s="65" t="s">
        <v>217</v>
      </c>
      <c r="B163" s="20" t="s">
        <v>173</v>
      </c>
      <c r="C163" s="18"/>
      <c r="D163" s="76"/>
      <c r="E163" s="31"/>
      <c r="F163" s="31"/>
      <c r="G163" s="31"/>
      <c r="H163" s="31"/>
      <c r="I163" s="31"/>
      <c r="J163" s="31"/>
      <c r="K163" s="31"/>
      <c r="L163" s="31"/>
      <c r="M163" s="31"/>
      <c r="N163" s="80"/>
      <c r="O163" s="80"/>
      <c r="P163" s="80"/>
      <c r="Q163" s="80"/>
      <c r="R163" s="80"/>
      <c r="S163" s="80"/>
    </row>
    <row r="164" spans="1:19" s="2" customFormat="1" ht="60" customHeight="1">
      <c r="A164" s="65" t="s">
        <v>123</v>
      </c>
      <c r="B164" s="20" t="s">
        <v>107</v>
      </c>
      <c r="C164" s="18"/>
      <c r="D164" s="73"/>
      <c r="E164" s="7"/>
      <c r="F164" s="7"/>
      <c r="G164" s="7"/>
      <c r="H164" s="7"/>
      <c r="I164" s="7"/>
      <c r="J164" s="7"/>
      <c r="K164" s="7"/>
      <c r="L164" s="7"/>
      <c r="M164" s="7"/>
      <c r="N164" s="81"/>
      <c r="O164" s="81"/>
      <c r="P164" s="81"/>
      <c r="Q164" s="87"/>
      <c r="R164" s="117"/>
      <c r="S164" s="117"/>
    </row>
    <row r="165" spans="1:19" s="2" customFormat="1" ht="35.25" customHeight="1">
      <c r="A165" s="65" t="s">
        <v>96</v>
      </c>
      <c r="B165" s="20" t="s">
        <v>171</v>
      </c>
      <c r="C165" s="18"/>
      <c r="D165" s="73"/>
      <c r="E165" s="7"/>
      <c r="F165" s="7"/>
      <c r="G165" s="7"/>
      <c r="H165" s="7"/>
      <c r="I165" s="7"/>
      <c r="J165" s="7"/>
      <c r="K165" s="7"/>
      <c r="L165" s="7"/>
      <c r="M165" s="7"/>
      <c r="N165" s="80">
        <f>SUM(N166:N166)</f>
        <v>1692.58465</v>
      </c>
      <c r="O165" s="80">
        <f>SUM(O166:O166)</f>
        <v>1692.58465</v>
      </c>
      <c r="P165" s="80">
        <f>SUM(P166:P167)</f>
        <v>2679.4585</v>
      </c>
      <c r="Q165" s="80">
        <f>SUM(Q166:Q166)</f>
        <v>2276</v>
      </c>
      <c r="R165" s="80">
        <f>SUM(R166:R166)</f>
        <v>2358.1</v>
      </c>
      <c r="S165" s="80">
        <f>SUM(S166:S166)</f>
        <v>2532.4</v>
      </c>
    </row>
    <row r="166" spans="1:19" s="3" customFormat="1" ht="63.75" customHeight="1">
      <c r="A166" s="66"/>
      <c r="B166" s="11" t="s">
        <v>972</v>
      </c>
      <c r="C166" s="12"/>
      <c r="D166" s="73" t="s">
        <v>507</v>
      </c>
      <c r="E166" s="7" t="s">
        <v>81</v>
      </c>
      <c r="F166" s="7" t="s">
        <v>28</v>
      </c>
      <c r="G166" s="7" t="s">
        <v>82</v>
      </c>
      <c r="H166" s="7"/>
      <c r="I166" s="7"/>
      <c r="J166" s="7"/>
      <c r="K166" s="7" t="s">
        <v>480</v>
      </c>
      <c r="L166" s="7" t="s">
        <v>454</v>
      </c>
      <c r="M166" s="7" t="s">
        <v>80</v>
      </c>
      <c r="N166" s="81">
        <f>1692584.65/1000</f>
        <v>1692.58465</v>
      </c>
      <c r="O166" s="81">
        <f>1692584.65/1000</f>
        <v>1692.58465</v>
      </c>
      <c r="P166" s="81">
        <f>2179458.5/1000</f>
        <v>2179.4585</v>
      </c>
      <c r="Q166" s="81">
        <f>2156+120</f>
        <v>2276</v>
      </c>
      <c r="R166" s="82">
        <f>2231+127.1</f>
        <v>2358.1</v>
      </c>
      <c r="S166" s="82">
        <v>2532.4</v>
      </c>
    </row>
    <row r="167" spans="1:19" s="3" customFormat="1" ht="111" customHeight="1">
      <c r="A167" s="66"/>
      <c r="B167" s="11" t="s">
        <v>972</v>
      </c>
      <c r="C167" s="12"/>
      <c r="D167" s="73" t="s">
        <v>507</v>
      </c>
      <c r="E167" s="7" t="s">
        <v>81</v>
      </c>
      <c r="F167" s="7" t="s">
        <v>28</v>
      </c>
      <c r="G167" s="7" t="s">
        <v>82</v>
      </c>
      <c r="H167" s="7"/>
      <c r="I167" s="7"/>
      <c r="J167" s="7"/>
      <c r="K167" s="7" t="s">
        <v>708</v>
      </c>
      <c r="L167" s="52" t="s">
        <v>678</v>
      </c>
      <c r="M167" s="52" t="s">
        <v>552</v>
      </c>
      <c r="N167" s="81">
        <v>0</v>
      </c>
      <c r="O167" s="81">
        <v>0</v>
      </c>
      <c r="P167" s="81">
        <f>500000/1000</f>
        <v>500</v>
      </c>
      <c r="Q167" s="81">
        <v>0</v>
      </c>
      <c r="R167" s="82">
        <v>0</v>
      </c>
      <c r="S167" s="82">
        <v>0</v>
      </c>
    </row>
    <row r="168" spans="1:19" s="2" customFormat="1" ht="48" customHeight="1">
      <c r="A168" s="65" t="s">
        <v>223</v>
      </c>
      <c r="B168" s="20" t="s">
        <v>329</v>
      </c>
      <c r="C168" s="18"/>
      <c r="D168" s="73"/>
      <c r="E168" s="7"/>
      <c r="F168" s="7"/>
      <c r="G168" s="7"/>
      <c r="H168" s="7"/>
      <c r="I168" s="7"/>
      <c r="J168" s="7"/>
      <c r="K168" s="7"/>
      <c r="L168" s="7"/>
      <c r="M168" s="7"/>
      <c r="N168" s="81"/>
      <c r="O168" s="81"/>
      <c r="P168" s="81"/>
      <c r="Q168" s="87"/>
      <c r="R168" s="117"/>
      <c r="S168" s="117"/>
    </row>
    <row r="169" spans="1:19" s="2" customFormat="1" ht="61.5" customHeight="1">
      <c r="A169" s="65" t="s">
        <v>118</v>
      </c>
      <c r="B169" s="20" t="s">
        <v>119</v>
      </c>
      <c r="C169" s="18"/>
      <c r="D169" s="73"/>
      <c r="E169" s="7"/>
      <c r="F169" s="7"/>
      <c r="G169" s="7"/>
      <c r="H169" s="7"/>
      <c r="I169" s="7"/>
      <c r="J169" s="7"/>
      <c r="K169" s="7"/>
      <c r="L169" s="7"/>
      <c r="M169" s="7"/>
      <c r="N169" s="80">
        <f>SUM(N170)</f>
        <v>737</v>
      </c>
      <c r="O169" s="80">
        <f>SUM(O170)</f>
        <v>707.399</v>
      </c>
      <c r="P169" s="80">
        <f>SUM(P170)</f>
        <v>978.5</v>
      </c>
      <c r="Q169" s="80">
        <f>SUM(Q170)</f>
        <v>1598</v>
      </c>
      <c r="R169" s="80">
        <f>SUM(R170)</f>
        <v>0</v>
      </c>
      <c r="S169" s="80">
        <f>SUM(S170)</f>
        <v>0</v>
      </c>
    </row>
    <row r="170" spans="1:19" s="2" customFormat="1" ht="138.75" customHeight="1">
      <c r="A170" s="66"/>
      <c r="B170" s="11" t="s">
        <v>439</v>
      </c>
      <c r="C170" s="12"/>
      <c r="D170" s="73" t="s">
        <v>378</v>
      </c>
      <c r="E170" s="7" t="s">
        <v>81</v>
      </c>
      <c r="F170" s="7" t="s">
        <v>28</v>
      </c>
      <c r="G170" s="7" t="s">
        <v>82</v>
      </c>
      <c r="H170" s="7"/>
      <c r="I170" s="7"/>
      <c r="J170" s="7"/>
      <c r="K170" s="7" t="s">
        <v>1147</v>
      </c>
      <c r="L170" s="7" t="s">
        <v>127</v>
      </c>
      <c r="M170" s="7" t="s">
        <v>451</v>
      </c>
      <c r="N170" s="81">
        <f>737000/1000</f>
        <v>737</v>
      </c>
      <c r="O170" s="81">
        <f>707399/1000</f>
        <v>707.399</v>
      </c>
      <c r="P170" s="81">
        <f>978500/1000</f>
        <v>978.5</v>
      </c>
      <c r="Q170" s="81">
        <v>1598</v>
      </c>
      <c r="R170" s="82">
        <v>0</v>
      </c>
      <c r="S170" s="82">
        <v>0</v>
      </c>
    </row>
    <row r="171" spans="1:19" s="2" customFormat="1" ht="63" customHeight="1">
      <c r="A171" s="65" t="s">
        <v>229</v>
      </c>
      <c r="B171" s="20" t="s">
        <v>167</v>
      </c>
      <c r="C171" s="18"/>
      <c r="D171" s="73"/>
      <c r="E171" s="7"/>
      <c r="F171" s="7"/>
      <c r="G171" s="7"/>
      <c r="H171" s="7"/>
      <c r="I171" s="7"/>
      <c r="J171" s="7"/>
      <c r="K171" s="7"/>
      <c r="L171" s="7"/>
      <c r="M171" s="7"/>
      <c r="N171" s="80"/>
      <c r="O171" s="80"/>
      <c r="P171" s="80"/>
      <c r="Q171" s="80"/>
      <c r="R171" s="80"/>
      <c r="S171" s="80"/>
    </row>
    <row r="172" spans="1:19" s="2" customFormat="1" ht="87.75" customHeight="1" hidden="1" outlineLevel="1">
      <c r="A172" s="66"/>
      <c r="B172" s="19" t="s">
        <v>289</v>
      </c>
      <c r="C172" s="18"/>
      <c r="D172" s="73" t="s">
        <v>290</v>
      </c>
      <c r="E172" s="7"/>
      <c r="F172" s="7"/>
      <c r="G172" s="7"/>
      <c r="H172" s="7"/>
      <c r="I172" s="7"/>
      <c r="J172" s="7"/>
      <c r="K172" s="7" t="s">
        <v>237</v>
      </c>
      <c r="L172" s="7" t="s">
        <v>421</v>
      </c>
      <c r="M172" s="7" t="s">
        <v>452</v>
      </c>
      <c r="N172" s="81">
        <v>0</v>
      </c>
      <c r="O172" s="81">
        <v>0</v>
      </c>
      <c r="P172" s="81">
        <v>0</v>
      </c>
      <c r="Q172" s="87"/>
      <c r="R172" s="117"/>
      <c r="S172" s="117"/>
    </row>
    <row r="173" spans="1:19" s="6" customFormat="1" ht="61.5" customHeight="1" collapsed="1">
      <c r="A173" s="65" t="s">
        <v>225</v>
      </c>
      <c r="B173" s="33" t="s">
        <v>479</v>
      </c>
      <c r="C173" s="18"/>
      <c r="D173" s="76"/>
      <c r="E173" s="98"/>
      <c r="F173" s="98"/>
      <c r="G173" s="98"/>
      <c r="H173" s="98"/>
      <c r="I173" s="98"/>
      <c r="J173" s="98"/>
      <c r="K173" s="31"/>
      <c r="L173" s="31"/>
      <c r="M173" s="31"/>
      <c r="N173" s="80">
        <f>SUM(N174:N175)</f>
        <v>270</v>
      </c>
      <c r="O173" s="80">
        <f>SUM(O174:O175)</f>
        <v>269.998</v>
      </c>
      <c r="P173" s="80">
        <f>SUM(P174:P175)</f>
        <v>334.24945</v>
      </c>
      <c r="Q173" s="80">
        <f>SUM(Q174:Q175)</f>
        <v>334</v>
      </c>
      <c r="R173" s="80">
        <f>SUM(R174:R175)</f>
        <v>353.7</v>
      </c>
      <c r="S173" s="80">
        <f>SUM(S174:S175)</f>
        <v>372.1</v>
      </c>
    </row>
    <row r="174" spans="1:19" s="6" customFormat="1" ht="53.25" customHeight="1">
      <c r="A174" s="67"/>
      <c r="B174" s="157" t="s">
        <v>577</v>
      </c>
      <c r="C174" s="12"/>
      <c r="D174" s="74" t="s">
        <v>332</v>
      </c>
      <c r="E174" s="180" t="s">
        <v>81</v>
      </c>
      <c r="F174" s="180" t="s">
        <v>28</v>
      </c>
      <c r="G174" s="180" t="s">
        <v>82</v>
      </c>
      <c r="H174" s="180" t="s">
        <v>261</v>
      </c>
      <c r="I174" s="180" t="s">
        <v>262</v>
      </c>
      <c r="J174" s="180" t="s">
        <v>263</v>
      </c>
      <c r="K174" s="151" t="s">
        <v>323</v>
      </c>
      <c r="L174" s="151" t="s">
        <v>421</v>
      </c>
      <c r="M174" s="151" t="s">
        <v>15</v>
      </c>
      <c r="N174" s="83">
        <f>270000/1000</f>
        <v>270</v>
      </c>
      <c r="O174" s="83">
        <f>269998/1000</f>
        <v>269.998</v>
      </c>
      <c r="P174" s="83">
        <v>0</v>
      </c>
      <c r="Q174" s="83">
        <v>0</v>
      </c>
      <c r="R174" s="86">
        <v>0</v>
      </c>
      <c r="S174" s="86">
        <v>0</v>
      </c>
    </row>
    <row r="175" spans="1:19" s="6" customFormat="1" ht="53.25" customHeight="1">
      <c r="A175" s="69"/>
      <c r="B175" s="159"/>
      <c r="C175" s="12"/>
      <c r="D175" s="77" t="s">
        <v>507</v>
      </c>
      <c r="E175" s="181"/>
      <c r="F175" s="181"/>
      <c r="G175" s="181"/>
      <c r="H175" s="181"/>
      <c r="I175" s="181"/>
      <c r="J175" s="181"/>
      <c r="K175" s="153"/>
      <c r="L175" s="153"/>
      <c r="M175" s="153"/>
      <c r="N175" s="89">
        <v>0</v>
      </c>
      <c r="O175" s="89">
        <v>0</v>
      </c>
      <c r="P175" s="89">
        <f>334249.45/1000</f>
        <v>334.24945</v>
      </c>
      <c r="Q175" s="89">
        <v>334</v>
      </c>
      <c r="R175" s="91">
        <v>353.7</v>
      </c>
      <c r="S175" s="91">
        <v>372.1</v>
      </c>
    </row>
    <row r="176" spans="1:19" s="2" customFormat="1" ht="46.5" customHeight="1">
      <c r="A176" s="65" t="s">
        <v>330</v>
      </c>
      <c r="B176" s="20" t="s">
        <v>331</v>
      </c>
      <c r="C176" s="18"/>
      <c r="D176" s="73"/>
      <c r="E176" s="7"/>
      <c r="F176" s="7"/>
      <c r="G176" s="7"/>
      <c r="H176" s="7"/>
      <c r="I176" s="7"/>
      <c r="J176" s="7"/>
      <c r="K176" s="7"/>
      <c r="L176" s="7"/>
      <c r="M176" s="7"/>
      <c r="N176" s="81"/>
      <c r="O176" s="81"/>
      <c r="P176" s="81"/>
      <c r="Q176" s="87"/>
      <c r="R176" s="117"/>
      <c r="S176" s="117"/>
    </row>
    <row r="177" spans="1:19" s="6" customFormat="1" ht="51" customHeight="1">
      <c r="A177" s="65" t="s">
        <v>36</v>
      </c>
      <c r="B177" s="33" t="s">
        <v>89</v>
      </c>
      <c r="C177" s="18"/>
      <c r="D177" s="76"/>
      <c r="E177" s="98"/>
      <c r="F177" s="98"/>
      <c r="G177" s="98"/>
      <c r="H177" s="98"/>
      <c r="I177" s="98"/>
      <c r="J177" s="98"/>
      <c r="K177" s="31"/>
      <c r="L177" s="31"/>
      <c r="M177" s="31"/>
      <c r="N177" s="80">
        <f>SUM(N178:N178)</f>
        <v>42868</v>
      </c>
      <c r="O177" s="80">
        <f>SUM(O178:O178)</f>
        <v>42868</v>
      </c>
      <c r="P177" s="80">
        <f>SUM(P178:P178)</f>
        <v>43180</v>
      </c>
      <c r="Q177" s="80">
        <f>SUM(Q178:Q178)</f>
        <v>43065</v>
      </c>
      <c r="R177" s="80">
        <f>SUM(R178:R178)</f>
        <v>45605.8</v>
      </c>
      <c r="S177" s="80">
        <f>SUM(S178:S178)</f>
        <v>47977.3</v>
      </c>
    </row>
    <row r="178" spans="1:19" s="6" customFormat="1" ht="87" customHeight="1">
      <c r="A178" s="65"/>
      <c r="B178" s="11" t="s">
        <v>431</v>
      </c>
      <c r="C178" s="12"/>
      <c r="D178" s="78" t="s">
        <v>521</v>
      </c>
      <c r="E178" s="98" t="s">
        <v>81</v>
      </c>
      <c r="F178" s="98" t="s">
        <v>28</v>
      </c>
      <c r="G178" s="98" t="s">
        <v>82</v>
      </c>
      <c r="H178" s="98" t="s">
        <v>264</v>
      </c>
      <c r="I178" s="98" t="s">
        <v>265</v>
      </c>
      <c r="J178" s="98" t="s">
        <v>210</v>
      </c>
      <c r="K178" s="7" t="s">
        <v>1178</v>
      </c>
      <c r="L178" s="7" t="s">
        <v>557</v>
      </c>
      <c r="M178" s="7" t="s">
        <v>680</v>
      </c>
      <c r="N178" s="81">
        <f>42868000/1000</f>
        <v>42868</v>
      </c>
      <c r="O178" s="81">
        <f>42868000/1000</f>
        <v>42868</v>
      </c>
      <c r="P178" s="81">
        <f>43180000/1000</f>
        <v>43180</v>
      </c>
      <c r="Q178" s="81">
        <v>43065</v>
      </c>
      <c r="R178" s="82">
        <v>45605.8</v>
      </c>
      <c r="S178" s="82">
        <v>47977.3</v>
      </c>
    </row>
    <row r="179" spans="1:19" s="2" customFormat="1" ht="50.25" customHeight="1">
      <c r="A179" s="65" t="s">
        <v>198</v>
      </c>
      <c r="B179" s="20" t="s">
        <v>56</v>
      </c>
      <c r="C179" s="18"/>
      <c r="D179" s="73"/>
      <c r="E179" s="7"/>
      <c r="F179" s="7"/>
      <c r="G179" s="7"/>
      <c r="H179" s="7"/>
      <c r="I179" s="7"/>
      <c r="J179" s="7"/>
      <c r="K179" s="7"/>
      <c r="L179" s="7"/>
      <c r="M179" s="7"/>
      <c r="N179" s="81"/>
      <c r="O179" s="81"/>
      <c r="P179" s="81"/>
      <c r="Q179" s="87"/>
      <c r="R179" s="117"/>
      <c r="S179" s="117"/>
    </row>
    <row r="180" spans="1:19" s="2" customFormat="1" ht="40.5" customHeight="1">
      <c r="A180" s="65" t="s">
        <v>362</v>
      </c>
      <c r="B180" s="20" t="s">
        <v>90</v>
      </c>
      <c r="C180" s="18"/>
      <c r="D180" s="73"/>
      <c r="E180" s="7"/>
      <c r="F180" s="7"/>
      <c r="G180" s="7"/>
      <c r="H180" s="7"/>
      <c r="I180" s="7"/>
      <c r="J180" s="7"/>
      <c r="K180" s="7"/>
      <c r="L180" s="7"/>
      <c r="M180" s="7"/>
      <c r="N180" s="81"/>
      <c r="O180" s="81"/>
      <c r="P180" s="81"/>
      <c r="Q180" s="87"/>
      <c r="R180" s="117"/>
      <c r="S180" s="117"/>
    </row>
    <row r="181" spans="1:19" s="6" customFormat="1" ht="63.75" customHeight="1">
      <c r="A181" s="65" t="s">
        <v>115</v>
      </c>
      <c r="B181" s="33" t="s">
        <v>59</v>
      </c>
      <c r="C181" s="18"/>
      <c r="D181" s="76"/>
      <c r="E181" s="31"/>
      <c r="F181" s="31"/>
      <c r="G181" s="31"/>
      <c r="H181" s="31"/>
      <c r="I181" s="31"/>
      <c r="J181" s="31"/>
      <c r="K181" s="31"/>
      <c r="L181" s="31"/>
      <c r="M181" s="31"/>
      <c r="N181" s="80"/>
      <c r="O181" s="80"/>
      <c r="P181" s="80"/>
      <c r="Q181" s="93"/>
      <c r="R181" s="119"/>
      <c r="S181" s="119"/>
    </row>
    <row r="182" spans="1:19" s="2" customFormat="1" ht="38.25" customHeight="1">
      <c r="A182" s="65" t="s">
        <v>212</v>
      </c>
      <c r="B182" s="20" t="s">
        <v>490</v>
      </c>
      <c r="C182" s="18"/>
      <c r="D182" s="73"/>
      <c r="E182" s="7"/>
      <c r="F182" s="7"/>
      <c r="G182" s="7"/>
      <c r="H182" s="7"/>
      <c r="I182" s="7"/>
      <c r="J182" s="7"/>
      <c r="K182" s="7"/>
      <c r="L182" s="7"/>
      <c r="M182" s="7"/>
      <c r="N182" s="81"/>
      <c r="O182" s="81"/>
      <c r="P182" s="81"/>
      <c r="Q182" s="87"/>
      <c r="R182" s="117"/>
      <c r="S182" s="117"/>
    </row>
    <row r="183" spans="1:19" s="6" customFormat="1" ht="61.5" customHeight="1">
      <c r="A183" s="65" t="s">
        <v>105</v>
      </c>
      <c r="B183" s="20" t="s">
        <v>106</v>
      </c>
      <c r="C183" s="18"/>
      <c r="D183" s="76"/>
      <c r="E183" s="31"/>
      <c r="F183" s="31"/>
      <c r="G183" s="31"/>
      <c r="H183" s="31"/>
      <c r="I183" s="31"/>
      <c r="J183" s="31"/>
      <c r="K183" s="31"/>
      <c r="L183" s="31"/>
      <c r="M183" s="31"/>
      <c r="N183" s="80">
        <f>SUM(N184:N187)</f>
        <v>1944.23343</v>
      </c>
      <c r="O183" s="80">
        <f>SUM(O184:O187)</f>
        <v>679.66198</v>
      </c>
      <c r="P183" s="80">
        <f>SUM(P184:P187)</f>
        <v>7009.14253</v>
      </c>
      <c r="Q183" s="80">
        <f>SUM(Q184:Q187)</f>
        <v>295</v>
      </c>
      <c r="R183" s="80">
        <f>SUM(R184:R187)</f>
        <v>312.4</v>
      </c>
      <c r="S183" s="80">
        <f>SUM(S184:S187)</f>
        <v>328.7</v>
      </c>
    </row>
    <row r="184" spans="1:19" s="2" customFormat="1" ht="108.75" customHeight="1">
      <c r="A184" s="66"/>
      <c r="B184" s="11" t="s">
        <v>308</v>
      </c>
      <c r="C184" s="12"/>
      <c r="D184" s="73" t="s">
        <v>249</v>
      </c>
      <c r="E184" s="7" t="s">
        <v>81</v>
      </c>
      <c r="F184" s="7" t="s">
        <v>28</v>
      </c>
      <c r="G184" s="7" t="s">
        <v>82</v>
      </c>
      <c r="H184" s="7"/>
      <c r="I184" s="7"/>
      <c r="J184" s="7"/>
      <c r="K184" s="7" t="s">
        <v>145</v>
      </c>
      <c r="L184" s="7" t="s">
        <v>135</v>
      </c>
      <c r="M184" s="7" t="s">
        <v>146</v>
      </c>
      <c r="N184" s="81">
        <f>271586.13/1000</f>
        <v>271.58613</v>
      </c>
      <c r="O184" s="81">
        <f>258188.13/1000</f>
        <v>258.18813</v>
      </c>
      <c r="P184" s="81">
        <v>0</v>
      </c>
      <c r="Q184" s="81">
        <v>0</v>
      </c>
      <c r="R184" s="81">
        <v>0</v>
      </c>
      <c r="S184" s="81">
        <v>0</v>
      </c>
    </row>
    <row r="185" spans="1:19" s="2" customFormat="1" ht="110.25" customHeight="1">
      <c r="A185" s="66"/>
      <c r="B185" s="11" t="s">
        <v>308</v>
      </c>
      <c r="C185" s="12"/>
      <c r="D185" s="73" t="s">
        <v>249</v>
      </c>
      <c r="E185" s="7" t="s">
        <v>81</v>
      </c>
      <c r="F185" s="7" t="s">
        <v>28</v>
      </c>
      <c r="G185" s="7" t="s">
        <v>82</v>
      </c>
      <c r="H185" s="7"/>
      <c r="I185" s="7"/>
      <c r="J185" s="7"/>
      <c r="K185" s="63" t="s">
        <v>1179</v>
      </c>
      <c r="L185" s="63" t="s">
        <v>714</v>
      </c>
      <c r="M185" s="63" t="s">
        <v>705</v>
      </c>
      <c r="N185" s="81">
        <v>0</v>
      </c>
      <c r="O185" s="81">
        <v>0</v>
      </c>
      <c r="P185" s="81">
        <f>403842.53/1000</f>
        <v>403.84253</v>
      </c>
      <c r="Q185" s="81">
        <v>295</v>
      </c>
      <c r="R185" s="82">
        <v>312.4</v>
      </c>
      <c r="S185" s="82">
        <v>328.7</v>
      </c>
    </row>
    <row r="186" spans="1:19" s="2" customFormat="1" ht="61.5" customHeight="1">
      <c r="A186" s="188"/>
      <c r="B186" s="187" t="s">
        <v>204</v>
      </c>
      <c r="C186" s="12"/>
      <c r="D186" s="191" t="s">
        <v>378</v>
      </c>
      <c r="E186" s="151" t="s">
        <v>81</v>
      </c>
      <c r="F186" s="151" t="s">
        <v>28</v>
      </c>
      <c r="G186" s="151" t="s">
        <v>82</v>
      </c>
      <c r="H186" s="151"/>
      <c r="I186" s="151"/>
      <c r="J186" s="151"/>
      <c r="K186" s="177" t="s">
        <v>1180</v>
      </c>
      <c r="L186" s="177" t="s">
        <v>307</v>
      </c>
      <c r="M186" s="177" t="s">
        <v>451</v>
      </c>
      <c r="N186" s="83">
        <f>1387036.8/1000</f>
        <v>1387.0368</v>
      </c>
      <c r="O186" s="83">
        <f>135863.35/1000</f>
        <v>135.86335</v>
      </c>
      <c r="P186" s="83">
        <f>4185300/1000</f>
        <v>4185.3</v>
      </c>
      <c r="Q186" s="83">
        <v>0</v>
      </c>
      <c r="R186" s="83">
        <v>0</v>
      </c>
      <c r="S186" s="83">
        <v>0</v>
      </c>
    </row>
    <row r="187" spans="1:19" s="2" customFormat="1" ht="61.5" customHeight="1">
      <c r="A187" s="188"/>
      <c r="B187" s="187"/>
      <c r="C187" s="12"/>
      <c r="D187" s="191"/>
      <c r="E187" s="153"/>
      <c r="F187" s="153"/>
      <c r="G187" s="153"/>
      <c r="H187" s="153"/>
      <c r="I187" s="153"/>
      <c r="J187" s="153"/>
      <c r="K187" s="177"/>
      <c r="L187" s="177"/>
      <c r="M187" s="177"/>
      <c r="N187" s="84">
        <f>285610.5/1000</f>
        <v>285.6105</v>
      </c>
      <c r="O187" s="84">
        <f>285610.5/1000</f>
        <v>285.6105</v>
      </c>
      <c r="P187" s="84">
        <f>2420000/1000</f>
        <v>2420</v>
      </c>
      <c r="Q187" s="84">
        <v>0</v>
      </c>
      <c r="R187" s="84">
        <v>0</v>
      </c>
      <c r="S187" s="84">
        <v>0</v>
      </c>
    </row>
    <row r="188" spans="1:19" s="2" customFormat="1" ht="86.25" customHeight="1">
      <c r="A188" s="65" t="s">
        <v>60</v>
      </c>
      <c r="B188" s="20" t="s">
        <v>61</v>
      </c>
      <c r="C188" s="18"/>
      <c r="D188" s="73"/>
      <c r="E188" s="7"/>
      <c r="F188" s="7"/>
      <c r="G188" s="7"/>
      <c r="H188" s="7"/>
      <c r="I188" s="7"/>
      <c r="J188" s="7"/>
      <c r="K188" s="7"/>
      <c r="L188" s="7"/>
      <c r="M188" s="7"/>
      <c r="N188" s="80">
        <f>SUM(N189:N191)</f>
        <v>1497.4</v>
      </c>
      <c r="O188" s="80">
        <f>SUM(O189:O191)</f>
        <v>1491.81822</v>
      </c>
      <c r="P188" s="80">
        <f>SUM(P189:P191)</f>
        <v>3923.2429399999996</v>
      </c>
      <c r="Q188" s="80">
        <f>SUM(Q189:Q191)</f>
        <v>11175.3</v>
      </c>
      <c r="R188" s="80">
        <f>SUM(R189:R191)</f>
        <v>4723.5</v>
      </c>
      <c r="S188" s="80">
        <f>SUM(S189:S191)</f>
        <v>3562.1</v>
      </c>
    </row>
    <row r="189" spans="1:19" s="3" customFormat="1" ht="207" customHeight="1">
      <c r="A189" s="66"/>
      <c r="B189" s="11" t="s">
        <v>152</v>
      </c>
      <c r="C189" s="12"/>
      <c r="D189" s="73" t="s">
        <v>516</v>
      </c>
      <c r="E189" s="7" t="s">
        <v>81</v>
      </c>
      <c r="F189" s="7" t="s">
        <v>100</v>
      </c>
      <c r="G189" s="7" t="s">
        <v>82</v>
      </c>
      <c r="H189" s="7"/>
      <c r="I189" s="7"/>
      <c r="J189" s="7"/>
      <c r="K189" s="7" t="s">
        <v>879</v>
      </c>
      <c r="L189" s="7" t="s">
        <v>309</v>
      </c>
      <c r="M189" s="7" t="s">
        <v>310</v>
      </c>
      <c r="N189" s="81">
        <f>(850400+477000)/1000</f>
        <v>1327.4</v>
      </c>
      <c r="O189" s="81">
        <f>(850357.88+475507.93)/1000</f>
        <v>1325.86581</v>
      </c>
      <c r="P189" s="81">
        <f>2586035.94/1000</f>
        <v>2586.0359399999998</v>
      </c>
      <c r="Q189" s="81">
        <v>3005</v>
      </c>
      <c r="R189" s="82">
        <v>3183.6</v>
      </c>
      <c r="S189" s="82">
        <v>3349.1</v>
      </c>
    </row>
    <row r="190" spans="1:19" s="3" customFormat="1" ht="90.75" customHeight="1">
      <c r="A190" s="66"/>
      <c r="B190" s="11" t="s">
        <v>973</v>
      </c>
      <c r="C190" s="12"/>
      <c r="D190" s="73" t="s">
        <v>516</v>
      </c>
      <c r="E190" s="7" t="s">
        <v>81</v>
      </c>
      <c r="F190" s="7" t="s">
        <v>100</v>
      </c>
      <c r="G190" s="7" t="s">
        <v>82</v>
      </c>
      <c r="H190" s="7"/>
      <c r="I190" s="7"/>
      <c r="J190" s="7"/>
      <c r="K190" s="7" t="s">
        <v>573</v>
      </c>
      <c r="L190" s="7" t="s">
        <v>421</v>
      </c>
      <c r="M190" s="7" t="s">
        <v>566</v>
      </c>
      <c r="N190" s="81">
        <v>0</v>
      </c>
      <c r="O190" s="81">
        <v>0</v>
      </c>
      <c r="P190" s="81">
        <f>(1050000+99120)/1000</f>
        <v>1149.12</v>
      </c>
      <c r="Q190" s="81">
        <v>7970</v>
      </c>
      <c r="R190" s="82">
        <v>1330</v>
      </c>
      <c r="S190" s="82">
        <v>0</v>
      </c>
    </row>
    <row r="191" spans="1:19" s="3" customFormat="1" ht="87.75" customHeight="1">
      <c r="A191" s="66"/>
      <c r="B191" s="11" t="s">
        <v>444</v>
      </c>
      <c r="C191" s="12"/>
      <c r="D191" s="73" t="s">
        <v>516</v>
      </c>
      <c r="E191" s="7" t="s">
        <v>81</v>
      </c>
      <c r="F191" s="7" t="s">
        <v>100</v>
      </c>
      <c r="G191" s="7" t="s">
        <v>82</v>
      </c>
      <c r="H191" s="7" t="s">
        <v>776</v>
      </c>
      <c r="I191" s="7" t="s">
        <v>774</v>
      </c>
      <c r="J191" s="7" t="s">
        <v>777</v>
      </c>
      <c r="K191" s="64" t="s">
        <v>715</v>
      </c>
      <c r="L191" s="64" t="s">
        <v>716</v>
      </c>
      <c r="M191" s="64" t="s">
        <v>686</v>
      </c>
      <c r="N191" s="81">
        <f>170000/1000</f>
        <v>170</v>
      </c>
      <c r="O191" s="81">
        <f>165952.41/1000</f>
        <v>165.95241000000001</v>
      </c>
      <c r="P191" s="81">
        <f>188087/1000</f>
        <v>188.087</v>
      </c>
      <c r="Q191" s="81">
        <v>200.3</v>
      </c>
      <c r="R191" s="82">
        <v>209.9</v>
      </c>
      <c r="S191" s="82">
        <v>213</v>
      </c>
    </row>
    <row r="192" spans="1:19" s="2" customFormat="1" ht="37.5" customHeight="1">
      <c r="A192" s="65" t="s">
        <v>163</v>
      </c>
      <c r="B192" s="20" t="s">
        <v>200</v>
      </c>
      <c r="C192" s="18"/>
      <c r="D192" s="73" t="s">
        <v>247</v>
      </c>
      <c r="E192" s="7"/>
      <c r="F192" s="7"/>
      <c r="G192" s="7"/>
      <c r="H192" s="7"/>
      <c r="I192" s="7"/>
      <c r="J192" s="7"/>
      <c r="K192" s="7"/>
      <c r="L192" s="7"/>
      <c r="M192" s="7"/>
      <c r="N192" s="80">
        <f>SUM(N193:N200)</f>
        <v>1343.68514</v>
      </c>
      <c r="O192" s="80">
        <f>SUM(O193:O200)</f>
        <v>1343.6052</v>
      </c>
      <c r="P192" s="80">
        <f>SUM(P193:P200)</f>
        <v>1071.9</v>
      </c>
      <c r="Q192" s="80">
        <f>SUM(Q193:Q200)</f>
        <v>933.7</v>
      </c>
      <c r="R192" s="80">
        <f>SUM(R193:R200)</f>
        <v>672.2</v>
      </c>
      <c r="S192" s="80">
        <f>SUM(S193:S200)</f>
        <v>707.1</v>
      </c>
    </row>
    <row r="193" spans="1:19" s="3" customFormat="1" ht="45.75" customHeight="1">
      <c r="A193" s="163"/>
      <c r="B193" s="157" t="s">
        <v>517</v>
      </c>
      <c r="C193" s="12"/>
      <c r="D193" s="74" t="s">
        <v>507</v>
      </c>
      <c r="E193" s="151" t="s">
        <v>779</v>
      </c>
      <c r="F193" s="151" t="s">
        <v>101</v>
      </c>
      <c r="G193" s="151" t="s">
        <v>82</v>
      </c>
      <c r="H193" s="151" t="s">
        <v>778</v>
      </c>
      <c r="I193" s="151" t="s">
        <v>780</v>
      </c>
      <c r="J193" s="151" t="s">
        <v>781</v>
      </c>
      <c r="K193" s="151" t="s">
        <v>1150</v>
      </c>
      <c r="L193" s="151" t="s">
        <v>421</v>
      </c>
      <c r="M193" s="151" t="s">
        <v>304</v>
      </c>
      <c r="N193" s="83">
        <f>43991.8/1000</f>
        <v>43.991800000000005</v>
      </c>
      <c r="O193" s="83">
        <f>43991.8/1000</f>
        <v>43.991800000000005</v>
      </c>
      <c r="P193" s="83">
        <f>24000/1000</f>
        <v>24</v>
      </c>
      <c r="Q193" s="83">
        <v>89</v>
      </c>
      <c r="R193" s="86">
        <v>0</v>
      </c>
      <c r="S193" s="86">
        <v>0</v>
      </c>
    </row>
    <row r="194" spans="1:19" s="3" customFormat="1" ht="45.75" customHeight="1">
      <c r="A194" s="165"/>
      <c r="B194" s="159"/>
      <c r="C194" s="37"/>
      <c r="D194" s="77" t="s">
        <v>35</v>
      </c>
      <c r="E194" s="153"/>
      <c r="F194" s="153"/>
      <c r="G194" s="153"/>
      <c r="H194" s="153"/>
      <c r="I194" s="153"/>
      <c r="J194" s="153"/>
      <c r="K194" s="153"/>
      <c r="L194" s="153"/>
      <c r="M194" s="153"/>
      <c r="N194" s="89">
        <f>145212.84/1000</f>
        <v>145.21284</v>
      </c>
      <c r="O194" s="89">
        <f>145212.84/1000</f>
        <v>145.21284</v>
      </c>
      <c r="P194" s="89">
        <f>180000/1000</f>
        <v>180</v>
      </c>
      <c r="Q194" s="89">
        <v>210</v>
      </c>
      <c r="R194" s="91">
        <v>0</v>
      </c>
      <c r="S194" s="91">
        <v>0</v>
      </c>
    </row>
    <row r="195" spans="1:19" s="3" customFormat="1" ht="48.75" customHeight="1">
      <c r="A195" s="188"/>
      <c r="B195" s="157" t="s">
        <v>450</v>
      </c>
      <c r="C195" s="37"/>
      <c r="D195" s="74" t="s">
        <v>332</v>
      </c>
      <c r="E195" s="151" t="s">
        <v>81</v>
      </c>
      <c r="F195" s="151" t="s">
        <v>28</v>
      </c>
      <c r="G195" s="151" t="s">
        <v>82</v>
      </c>
      <c r="H195" s="151" t="s">
        <v>782</v>
      </c>
      <c r="I195" s="151" t="s">
        <v>426</v>
      </c>
      <c r="J195" s="151" t="s">
        <v>783</v>
      </c>
      <c r="K195" s="151" t="s">
        <v>385</v>
      </c>
      <c r="L195" s="173" t="s">
        <v>74</v>
      </c>
      <c r="M195" s="151" t="s">
        <v>288</v>
      </c>
      <c r="N195" s="83">
        <f>650000/1000</f>
        <v>650</v>
      </c>
      <c r="O195" s="83">
        <f>649921.24/1000</f>
        <v>649.92124</v>
      </c>
      <c r="P195" s="83">
        <v>0</v>
      </c>
      <c r="Q195" s="83">
        <v>0</v>
      </c>
      <c r="R195" s="83">
        <v>0</v>
      </c>
      <c r="S195" s="83">
        <v>0</v>
      </c>
    </row>
    <row r="196" spans="1:19" s="3" customFormat="1" ht="50.25" customHeight="1">
      <c r="A196" s="188"/>
      <c r="B196" s="159"/>
      <c r="C196" s="38"/>
      <c r="D196" s="77" t="s">
        <v>35</v>
      </c>
      <c r="E196" s="153"/>
      <c r="F196" s="153"/>
      <c r="G196" s="153"/>
      <c r="H196" s="153"/>
      <c r="I196" s="153"/>
      <c r="J196" s="153"/>
      <c r="K196" s="153"/>
      <c r="L196" s="174"/>
      <c r="M196" s="153"/>
      <c r="N196" s="89">
        <f>50000/1000</f>
        <v>50</v>
      </c>
      <c r="O196" s="89">
        <f>50000/1000</f>
        <v>50</v>
      </c>
      <c r="P196" s="89">
        <v>0</v>
      </c>
      <c r="Q196" s="89">
        <v>0</v>
      </c>
      <c r="R196" s="89">
        <v>0</v>
      </c>
      <c r="S196" s="89">
        <v>0</v>
      </c>
    </row>
    <row r="197" spans="1:19" s="3" customFormat="1" ht="170.25" customHeight="1">
      <c r="A197" s="66"/>
      <c r="B197" s="11" t="s">
        <v>94</v>
      </c>
      <c r="C197" s="12"/>
      <c r="D197" s="73" t="s">
        <v>247</v>
      </c>
      <c r="E197" s="7" t="s">
        <v>81</v>
      </c>
      <c r="F197" s="7" t="s">
        <v>101</v>
      </c>
      <c r="G197" s="7" t="s">
        <v>82</v>
      </c>
      <c r="H197" s="7"/>
      <c r="I197" s="7"/>
      <c r="J197" s="7"/>
      <c r="K197" s="7" t="s">
        <v>717</v>
      </c>
      <c r="L197" s="7" t="s">
        <v>87</v>
      </c>
      <c r="M197" s="7" t="s">
        <v>151</v>
      </c>
      <c r="N197" s="81">
        <f>(175000+15000)/1000</f>
        <v>190</v>
      </c>
      <c r="O197" s="81">
        <f>(174999.27+14999.55)/1000</f>
        <v>189.99881999999997</v>
      </c>
      <c r="P197" s="81">
        <f>251000/1000</f>
        <v>251</v>
      </c>
      <c r="Q197" s="81">
        <v>401.5</v>
      </c>
      <c r="R197" s="81">
        <v>425.2</v>
      </c>
      <c r="S197" s="81">
        <v>447.3</v>
      </c>
    </row>
    <row r="198" spans="1:19" s="6" customFormat="1" ht="84" customHeight="1">
      <c r="A198" s="65"/>
      <c r="B198" s="11" t="s">
        <v>519</v>
      </c>
      <c r="C198" s="12"/>
      <c r="D198" s="73" t="s">
        <v>507</v>
      </c>
      <c r="E198" s="7" t="s">
        <v>784</v>
      </c>
      <c r="F198" s="7" t="s">
        <v>785</v>
      </c>
      <c r="G198" s="7" t="s">
        <v>786</v>
      </c>
      <c r="H198" s="7" t="s">
        <v>787</v>
      </c>
      <c r="I198" s="7" t="s">
        <v>421</v>
      </c>
      <c r="J198" s="7" t="s">
        <v>788</v>
      </c>
      <c r="K198" s="52" t="s">
        <v>1149</v>
      </c>
      <c r="L198" s="52" t="s">
        <v>333</v>
      </c>
      <c r="M198" s="7" t="s">
        <v>930</v>
      </c>
      <c r="N198" s="81">
        <v>0</v>
      </c>
      <c r="O198" s="81">
        <v>0</v>
      </c>
      <c r="P198" s="81">
        <f>250000/1000</f>
        <v>250</v>
      </c>
      <c r="Q198" s="81">
        <v>0</v>
      </c>
      <c r="R198" s="81">
        <v>0</v>
      </c>
      <c r="S198" s="81">
        <v>0</v>
      </c>
    </row>
    <row r="199" spans="1:19" s="3" customFormat="1" ht="63.75" customHeight="1">
      <c r="A199" s="66"/>
      <c r="B199" s="11" t="s">
        <v>465</v>
      </c>
      <c r="C199" s="12"/>
      <c r="D199" s="73" t="s">
        <v>332</v>
      </c>
      <c r="E199" s="7" t="s">
        <v>81</v>
      </c>
      <c r="F199" s="7" t="s">
        <v>28</v>
      </c>
      <c r="G199" s="7" t="s">
        <v>82</v>
      </c>
      <c r="H199" s="7"/>
      <c r="I199" s="7"/>
      <c r="J199" s="7"/>
      <c r="K199" s="7" t="s">
        <v>466</v>
      </c>
      <c r="L199" s="7" t="s">
        <v>333</v>
      </c>
      <c r="M199" s="7" t="s">
        <v>467</v>
      </c>
      <c r="N199" s="81">
        <f>(96360+168120.5)/1000</f>
        <v>264.4805</v>
      </c>
      <c r="O199" s="81">
        <f>(96360+168120.5)/1000</f>
        <v>264.4805</v>
      </c>
      <c r="P199" s="81">
        <v>0</v>
      </c>
      <c r="Q199" s="81">
        <v>0</v>
      </c>
      <c r="R199" s="81">
        <v>0</v>
      </c>
      <c r="S199" s="81">
        <v>0</v>
      </c>
    </row>
    <row r="200" spans="1:19" s="3" customFormat="1" ht="61.5" customHeight="1">
      <c r="A200" s="66"/>
      <c r="B200" s="11" t="s">
        <v>465</v>
      </c>
      <c r="C200" s="12"/>
      <c r="D200" s="73" t="s">
        <v>507</v>
      </c>
      <c r="E200" s="7" t="s">
        <v>81</v>
      </c>
      <c r="F200" s="7" t="s">
        <v>28</v>
      </c>
      <c r="G200" s="7" t="s">
        <v>82</v>
      </c>
      <c r="H200" s="7"/>
      <c r="I200" s="7"/>
      <c r="J200" s="7"/>
      <c r="K200" s="52" t="s">
        <v>1148</v>
      </c>
      <c r="L200" s="52" t="s">
        <v>341</v>
      </c>
      <c r="M200" s="52" t="s">
        <v>711</v>
      </c>
      <c r="N200" s="81">
        <v>0</v>
      </c>
      <c r="O200" s="81">
        <v>0</v>
      </c>
      <c r="P200" s="81">
        <f>366900/1000</f>
        <v>366.9</v>
      </c>
      <c r="Q200" s="81">
        <v>233.2</v>
      </c>
      <c r="R200" s="82">
        <v>247</v>
      </c>
      <c r="S200" s="82">
        <v>259.8</v>
      </c>
    </row>
    <row r="201" spans="1:19" s="2" customFormat="1" ht="95.25" customHeight="1">
      <c r="A201" s="65" t="s">
        <v>397</v>
      </c>
      <c r="B201" s="20" t="s">
        <v>83</v>
      </c>
      <c r="C201" s="18"/>
      <c r="D201" s="73"/>
      <c r="E201" s="7"/>
      <c r="F201" s="7"/>
      <c r="G201" s="7"/>
      <c r="H201" s="7"/>
      <c r="I201" s="7"/>
      <c r="J201" s="7"/>
      <c r="K201" s="7"/>
      <c r="L201" s="7"/>
      <c r="M201" s="7"/>
      <c r="N201" s="81"/>
      <c r="O201" s="81"/>
      <c r="P201" s="81"/>
      <c r="Q201" s="87"/>
      <c r="R201" s="117"/>
      <c r="S201" s="117"/>
    </row>
    <row r="202" spans="1:19" s="2" customFormat="1" ht="72.75" customHeight="1">
      <c r="A202" s="65" t="s">
        <v>238</v>
      </c>
      <c r="B202" s="20" t="s">
        <v>78</v>
      </c>
      <c r="C202" s="18"/>
      <c r="D202" s="73"/>
      <c r="E202" s="7"/>
      <c r="F202" s="7"/>
      <c r="G202" s="7"/>
      <c r="H202" s="7"/>
      <c r="I202" s="7"/>
      <c r="J202" s="7"/>
      <c r="K202" s="7"/>
      <c r="L202" s="7"/>
      <c r="M202" s="7"/>
      <c r="N202" s="81"/>
      <c r="O202" s="81"/>
      <c r="P202" s="81"/>
      <c r="Q202" s="87"/>
      <c r="R202" s="117"/>
      <c r="S202" s="117"/>
    </row>
    <row r="203" spans="1:19" s="2" customFormat="1" ht="85.5" customHeight="1">
      <c r="A203" s="65" t="s">
        <v>292</v>
      </c>
      <c r="B203" s="20" t="s">
        <v>19</v>
      </c>
      <c r="C203" s="18"/>
      <c r="D203" s="73"/>
      <c r="E203" s="7"/>
      <c r="F203" s="7"/>
      <c r="G203" s="7"/>
      <c r="H203" s="7"/>
      <c r="I203" s="7"/>
      <c r="J203" s="7"/>
      <c r="K203" s="7"/>
      <c r="L203" s="7"/>
      <c r="M203" s="7"/>
      <c r="N203" s="80">
        <f>SUM(N204:N247)</f>
        <v>281663.323</v>
      </c>
      <c r="O203" s="80">
        <f>SUM(O204:O247)</f>
        <v>277583.93351</v>
      </c>
      <c r="P203" s="80">
        <f>SUM(P204:P248)</f>
        <v>330751.804</v>
      </c>
      <c r="Q203" s="80">
        <f>SUM(Q204:Q247)</f>
        <v>403403.7</v>
      </c>
      <c r="R203" s="80">
        <f>SUM(R204:R247)</f>
        <v>419115.19999999995</v>
      </c>
      <c r="S203" s="80">
        <f>SUM(S204:S247)</f>
        <v>423153.6</v>
      </c>
    </row>
    <row r="204" spans="1:19" s="3" customFormat="1" ht="167.25" customHeight="1">
      <c r="A204" s="66" t="s">
        <v>632</v>
      </c>
      <c r="B204" s="11" t="s">
        <v>530</v>
      </c>
      <c r="C204" s="18"/>
      <c r="D204" s="73" t="s">
        <v>340</v>
      </c>
      <c r="E204" s="7" t="s">
        <v>794</v>
      </c>
      <c r="F204" s="7" t="s">
        <v>259</v>
      </c>
      <c r="G204" s="7" t="s">
        <v>463</v>
      </c>
      <c r="H204" s="7" t="s">
        <v>795</v>
      </c>
      <c r="I204" s="7" t="s">
        <v>789</v>
      </c>
      <c r="J204" s="7" t="s">
        <v>790</v>
      </c>
      <c r="K204" s="7" t="s">
        <v>1184</v>
      </c>
      <c r="L204" s="7" t="s">
        <v>72</v>
      </c>
      <c r="M204" s="7" t="s">
        <v>147</v>
      </c>
      <c r="N204" s="81">
        <f>746000/1000</f>
        <v>746</v>
      </c>
      <c r="O204" s="81">
        <f>708895.96/1000</f>
        <v>708.89596</v>
      </c>
      <c r="P204" s="81">
        <f>854000/1000</f>
        <v>854</v>
      </c>
      <c r="Q204" s="81">
        <v>886</v>
      </c>
      <c r="R204" s="82">
        <v>925</v>
      </c>
      <c r="S204" s="82">
        <v>925</v>
      </c>
    </row>
    <row r="205" spans="1:19" s="3" customFormat="1" ht="180" customHeight="1">
      <c r="A205" s="66" t="s">
        <v>633</v>
      </c>
      <c r="B205" s="11" t="s">
        <v>537</v>
      </c>
      <c r="C205" s="12"/>
      <c r="D205" s="73" t="s">
        <v>507</v>
      </c>
      <c r="E205" s="7" t="s">
        <v>791</v>
      </c>
      <c r="F205" s="7" t="s">
        <v>792</v>
      </c>
      <c r="G205" s="7" t="s">
        <v>793</v>
      </c>
      <c r="H205" s="7" t="s">
        <v>796</v>
      </c>
      <c r="I205" s="7" t="s">
        <v>351</v>
      </c>
      <c r="J205" s="7" t="s">
        <v>352</v>
      </c>
      <c r="K205" s="7" t="s">
        <v>1185</v>
      </c>
      <c r="L205" s="10" t="s">
        <v>72</v>
      </c>
      <c r="M205" s="10" t="s">
        <v>538</v>
      </c>
      <c r="N205" s="81">
        <f>108000/1000</f>
        <v>108</v>
      </c>
      <c r="O205" s="81">
        <f>108000/1000</f>
        <v>108</v>
      </c>
      <c r="P205" s="81">
        <f>123000/1000</f>
        <v>123</v>
      </c>
      <c r="Q205" s="81">
        <v>128</v>
      </c>
      <c r="R205" s="82">
        <v>134</v>
      </c>
      <c r="S205" s="82">
        <v>134</v>
      </c>
    </row>
    <row r="206" spans="1:19" s="3" customFormat="1" ht="50.25" customHeight="1" hidden="1">
      <c r="A206" s="66" t="s">
        <v>634</v>
      </c>
      <c r="B206" s="11" t="s">
        <v>635</v>
      </c>
      <c r="C206" s="12"/>
      <c r="D206" s="73"/>
      <c r="E206" s="7"/>
      <c r="F206" s="7"/>
      <c r="G206" s="7"/>
      <c r="H206" s="7"/>
      <c r="I206" s="7"/>
      <c r="J206" s="7"/>
      <c r="K206" s="7"/>
      <c r="L206" s="10"/>
      <c r="M206" s="10"/>
      <c r="N206" s="83"/>
      <c r="O206" s="83"/>
      <c r="P206" s="83"/>
      <c r="Q206" s="83"/>
      <c r="R206" s="86"/>
      <c r="S206" s="86"/>
    </row>
    <row r="207" spans="1:19" s="3" customFormat="1" ht="20.25" customHeight="1">
      <c r="A207" s="163" t="s">
        <v>636</v>
      </c>
      <c r="B207" s="157" t="s">
        <v>637</v>
      </c>
      <c r="C207" s="12"/>
      <c r="D207" s="166" t="s">
        <v>347</v>
      </c>
      <c r="E207" s="151" t="s">
        <v>797</v>
      </c>
      <c r="F207" s="151" t="s">
        <v>117</v>
      </c>
      <c r="G207" s="151" t="s">
        <v>798</v>
      </c>
      <c r="H207" s="151" t="s">
        <v>799</v>
      </c>
      <c r="I207" s="151" t="s">
        <v>800</v>
      </c>
      <c r="J207" s="151" t="s">
        <v>352</v>
      </c>
      <c r="K207" s="151" t="s">
        <v>1186</v>
      </c>
      <c r="L207" s="154" t="s">
        <v>540</v>
      </c>
      <c r="M207" s="154" t="s">
        <v>485</v>
      </c>
      <c r="N207" s="83">
        <f>5144300/1000</f>
        <v>5144.3</v>
      </c>
      <c r="O207" s="83">
        <f>5137523.45/1000</f>
        <v>5137.523450000001</v>
      </c>
      <c r="P207" s="83">
        <f>7137000/1000</f>
        <v>7137</v>
      </c>
      <c r="Q207" s="148">
        <f>5215+25687.7</f>
        <v>30902.7</v>
      </c>
      <c r="R207" s="178">
        <f>6903+30113.8</f>
        <v>37016.8</v>
      </c>
      <c r="S207" s="178">
        <v>44611.5</v>
      </c>
    </row>
    <row r="208" spans="1:19" s="3" customFormat="1" ht="20.25" customHeight="1">
      <c r="A208" s="164"/>
      <c r="B208" s="158"/>
      <c r="C208" s="12"/>
      <c r="D208" s="167"/>
      <c r="E208" s="152"/>
      <c r="F208" s="152"/>
      <c r="G208" s="152"/>
      <c r="H208" s="152"/>
      <c r="I208" s="152"/>
      <c r="J208" s="152"/>
      <c r="K208" s="152"/>
      <c r="L208" s="155"/>
      <c r="M208" s="155"/>
      <c r="N208" s="84">
        <f>9143200/1000</f>
        <v>9143.2</v>
      </c>
      <c r="O208" s="84">
        <f>9110926.33/1000</f>
        <v>9110.92633</v>
      </c>
      <c r="P208" s="84">
        <f>9612000/1000</f>
        <v>9612</v>
      </c>
      <c r="Q208" s="149"/>
      <c r="R208" s="192"/>
      <c r="S208" s="192"/>
    </row>
    <row r="209" spans="1:19" s="3" customFormat="1" ht="20.25" customHeight="1">
      <c r="A209" s="164"/>
      <c r="B209" s="158"/>
      <c r="C209" s="12"/>
      <c r="D209" s="167"/>
      <c r="E209" s="152"/>
      <c r="F209" s="152"/>
      <c r="G209" s="152"/>
      <c r="H209" s="152"/>
      <c r="I209" s="152"/>
      <c r="J209" s="152"/>
      <c r="K209" s="152"/>
      <c r="L209" s="155"/>
      <c r="M209" s="155"/>
      <c r="N209" s="84">
        <f>1996500/1000</f>
        <v>1996.5</v>
      </c>
      <c r="O209" s="84">
        <f>1996500/1000</f>
        <v>1996.5</v>
      </c>
      <c r="P209" s="84">
        <f>2175400/1000</f>
        <v>2175.4</v>
      </c>
      <c r="Q209" s="149"/>
      <c r="R209" s="192"/>
      <c r="S209" s="192"/>
    </row>
    <row r="210" spans="1:19" s="3" customFormat="1" ht="20.25" customHeight="1">
      <c r="A210" s="164"/>
      <c r="B210" s="158"/>
      <c r="C210" s="12"/>
      <c r="D210" s="167"/>
      <c r="E210" s="152"/>
      <c r="F210" s="152"/>
      <c r="G210" s="152"/>
      <c r="H210" s="152"/>
      <c r="I210" s="152"/>
      <c r="J210" s="152"/>
      <c r="K210" s="152"/>
      <c r="L210" s="155"/>
      <c r="M210" s="155"/>
      <c r="N210" s="84">
        <f>2439000/1000</f>
        <v>2439</v>
      </c>
      <c r="O210" s="84">
        <f>2439000/1000</f>
        <v>2439</v>
      </c>
      <c r="P210" s="84">
        <f>4508000/1000</f>
        <v>4508</v>
      </c>
      <c r="Q210" s="149"/>
      <c r="R210" s="192"/>
      <c r="S210" s="192"/>
    </row>
    <row r="211" spans="1:19" s="3" customFormat="1" ht="20.25" customHeight="1">
      <c r="A211" s="164"/>
      <c r="B211" s="158"/>
      <c r="C211" s="12"/>
      <c r="D211" s="167"/>
      <c r="E211" s="152"/>
      <c r="F211" s="152"/>
      <c r="G211" s="152"/>
      <c r="H211" s="152"/>
      <c r="I211" s="152"/>
      <c r="J211" s="152"/>
      <c r="K211" s="152"/>
      <c r="L211" s="155"/>
      <c r="M211" s="155"/>
      <c r="N211" s="84">
        <f>10840000/1000</f>
        <v>10840</v>
      </c>
      <c r="O211" s="84">
        <f>10594817.17/1000</f>
        <v>10594.81717</v>
      </c>
      <c r="P211" s="84">
        <f>11524000/1000</f>
        <v>11524</v>
      </c>
      <c r="Q211" s="149"/>
      <c r="R211" s="192"/>
      <c r="S211" s="192"/>
    </row>
    <row r="212" spans="1:19" s="3" customFormat="1" ht="20.25" customHeight="1">
      <c r="A212" s="165"/>
      <c r="B212" s="159"/>
      <c r="C212" s="12"/>
      <c r="D212" s="168"/>
      <c r="E212" s="153"/>
      <c r="F212" s="153"/>
      <c r="G212" s="153"/>
      <c r="H212" s="153"/>
      <c r="I212" s="153"/>
      <c r="J212" s="153"/>
      <c r="K212" s="153"/>
      <c r="L212" s="156"/>
      <c r="M212" s="156"/>
      <c r="N212" s="89">
        <f>3318800/1000</f>
        <v>3318.8</v>
      </c>
      <c r="O212" s="89">
        <f>3318800/1000</f>
        <v>3318.8</v>
      </c>
      <c r="P212" s="89">
        <f>4713700/1000</f>
        <v>4713.7</v>
      </c>
      <c r="Q212" s="150"/>
      <c r="R212" s="179"/>
      <c r="S212" s="179"/>
    </row>
    <row r="213" spans="1:19" s="3" customFormat="1" ht="145.5" customHeight="1">
      <c r="A213" s="66" t="s">
        <v>638</v>
      </c>
      <c r="B213" s="11" t="s">
        <v>509</v>
      </c>
      <c r="C213" s="12"/>
      <c r="D213" s="73" t="s">
        <v>521</v>
      </c>
      <c r="E213" s="7" t="s">
        <v>81</v>
      </c>
      <c r="F213" s="7" t="s">
        <v>99</v>
      </c>
      <c r="G213" s="7" t="s">
        <v>82</v>
      </c>
      <c r="H213" s="7" t="s">
        <v>801</v>
      </c>
      <c r="I213" s="7" t="s">
        <v>170</v>
      </c>
      <c r="J213" s="7" t="s">
        <v>352</v>
      </c>
      <c r="K213" s="7" t="s">
        <v>1187</v>
      </c>
      <c r="L213" s="10" t="s">
        <v>333</v>
      </c>
      <c r="M213" s="10" t="s">
        <v>534</v>
      </c>
      <c r="N213" s="81">
        <f>21470000/1000</f>
        <v>21470</v>
      </c>
      <c r="O213" s="81">
        <f>21470000/1000</f>
        <v>21470</v>
      </c>
      <c r="P213" s="81">
        <f>21158000/1000</f>
        <v>21158</v>
      </c>
      <c r="Q213" s="81">
        <v>25133</v>
      </c>
      <c r="R213" s="82">
        <v>27208</v>
      </c>
      <c r="S213" s="82">
        <v>29181</v>
      </c>
    </row>
    <row r="214" spans="1:19" s="3" customFormat="1" ht="48" customHeight="1">
      <c r="A214" s="163" t="s">
        <v>639</v>
      </c>
      <c r="B214" s="45" t="s">
        <v>670</v>
      </c>
      <c r="C214" s="18"/>
      <c r="D214" s="74" t="s">
        <v>249</v>
      </c>
      <c r="E214" s="151" t="s">
        <v>860</v>
      </c>
      <c r="F214" s="151" t="s">
        <v>861</v>
      </c>
      <c r="G214" s="151" t="s">
        <v>151</v>
      </c>
      <c r="H214" s="151" t="s">
        <v>802</v>
      </c>
      <c r="I214" s="151" t="s">
        <v>462</v>
      </c>
      <c r="J214" s="151" t="s">
        <v>93</v>
      </c>
      <c r="K214" s="151" t="s">
        <v>1188</v>
      </c>
      <c r="L214" s="39" t="s">
        <v>421</v>
      </c>
      <c r="M214" s="151" t="s">
        <v>484</v>
      </c>
      <c r="N214" s="83">
        <f>1400/1000</f>
        <v>1.4</v>
      </c>
      <c r="O214" s="83">
        <f>1400/1000</f>
        <v>1.4</v>
      </c>
      <c r="P214" s="83">
        <f>96600/1000</f>
        <v>96.6</v>
      </c>
      <c r="Q214" s="83">
        <v>122.2</v>
      </c>
      <c r="R214" s="86">
        <v>122.2</v>
      </c>
      <c r="S214" s="86">
        <v>122.2</v>
      </c>
    </row>
    <row r="215" spans="1:19" s="3" customFormat="1" ht="48.75" customHeight="1">
      <c r="A215" s="164"/>
      <c r="B215" s="11" t="s">
        <v>671</v>
      </c>
      <c r="C215" s="18"/>
      <c r="D215" s="73" t="s">
        <v>249</v>
      </c>
      <c r="E215" s="152"/>
      <c r="F215" s="152"/>
      <c r="G215" s="152"/>
      <c r="H215" s="152"/>
      <c r="I215" s="152"/>
      <c r="J215" s="152"/>
      <c r="K215" s="152"/>
      <c r="L215" s="7" t="s">
        <v>421</v>
      </c>
      <c r="M215" s="152"/>
      <c r="N215" s="81">
        <f>60000/1000</f>
        <v>60</v>
      </c>
      <c r="O215" s="81">
        <f>60000/1000</f>
        <v>60</v>
      </c>
      <c r="P215" s="81">
        <f>31750/1000</f>
        <v>31.75</v>
      </c>
      <c r="Q215" s="81">
        <v>55</v>
      </c>
      <c r="R215" s="82">
        <v>55</v>
      </c>
      <c r="S215" s="82">
        <v>55</v>
      </c>
    </row>
    <row r="216" spans="1:19" s="3" customFormat="1" ht="37.5" customHeight="1">
      <c r="A216" s="164"/>
      <c r="B216" s="11" t="s">
        <v>672</v>
      </c>
      <c r="C216" s="18"/>
      <c r="D216" s="73" t="s">
        <v>249</v>
      </c>
      <c r="E216" s="152"/>
      <c r="F216" s="152"/>
      <c r="G216" s="152"/>
      <c r="H216" s="152"/>
      <c r="I216" s="152"/>
      <c r="J216" s="152"/>
      <c r="K216" s="152"/>
      <c r="L216" s="7" t="s">
        <v>421</v>
      </c>
      <c r="M216" s="152"/>
      <c r="N216" s="81">
        <v>0</v>
      </c>
      <c r="O216" s="81">
        <v>0</v>
      </c>
      <c r="P216" s="81">
        <f>158000/1000</f>
        <v>158</v>
      </c>
      <c r="Q216" s="81">
        <f>158000/1000</f>
        <v>158</v>
      </c>
      <c r="R216" s="82">
        <f>158000/1000</f>
        <v>158</v>
      </c>
      <c r="S216" s="82">
        <f>158000/1000</f>
        <v>158</v>
      </c>
    </row>
    <row r="217" spans="1:19" s="3" customFormat="1" ht="36.75" customHeight="1">
      <c r="A217" s="164"/>
      <c r="B217" s="11" t="s">
        <v>673</v>
      </c>
      <c r="C217" s="18"/>
      <c r="D217" s="73" t="s">
        <v>340</v>
      </c>
      <c r="E217" s="152"/>
      <c r="F217" s="152"/>
      <c r="G217" s="152"/>
      <c r="H217" s="152"/>
      <c r="I217" s="152"/>
      <c r="J217" s="152"/>
      <c r="K217" s="152"/>
      <c r="L217" s="7" t="s">
        <v>421</v>
      </c>
      <c r="M217" s="152"/>
      <c r="N217" s="81">
        <f>591000/1000</f>
        <v>591</v>
      </c>
      <c r="O217" s="81">
        <f>441549.63/1000</f>
        <v>441.54963</v>
      </c>
      <c r="P217" s="81">
        <f>677000/1000</f>
        <v>677</v>
      </c>
      <c r="Q217" s="81">
        <v>703</v>
      </c>
      <c r="R217" s="82">
        <v>734</v>
      </c>
      <c r="S217" s="82">
        <v>734</v>
      </c>
    </row>
    <row r="218" spans="1:19" s="3" customFormat="1" ht="135.75" customHeight="1">
      <c r="A218" s="164"/>
      <c r="B218" s="11" t="s">
        <v>880</v>
      </c>
      <c r="C218" s="18"/>
      <c r="D218" s="73"/>
      <c r="E218" s="152"/>
      <c r="F218" s="152"/>
      <c r="G218" s="152"/>
      <c r="H218" s="152"/>
      <c r="I218" s="152"/>
      <c r="J218" s="152"/>
      <c r="K218" s="152"/>
      <c r="L218" s="7" t="s">
        <v>421</v>
      </c>
      <c r="M218" s="152"/>
      <c r="N218" s="83">
        <v>0</v>
      </c>
      <c r="O218" s="83">
        <v>0</v>
      </c>
      <c r="P218" s="83">
        <f>890000/1000</f>
        <v>890</v>
      </c>
      <c r="Q218" s="83">
        <v>0</v>
      </c>
      <c r="R218" s="86">
        <v>0</v>
      </c>
      <c r="S218" s="86">
        <v>0</v>
      </c>
    </row>
    <row r="219" spans="1:19" s="3" customFormat="1" ht="66.75" customHeight="1">
      <c r="A219" s="164"/>
      <c r="B219" s="187" t="s">
        <v>674</v>
      </c>
      <c r="C219" s="12"/>
      <c r="D219" s="191" t="s">
        <v>249</v>
      </c>
      <c r="E219" s="152"/>
      <c r="F219" s="152"/>
      <c r="G219" s="152"/>
      <c r="H219" s="152"/>
      <c r="I219" s="152"/>
      <c r="J219" s="152"/>
      <c r="K219" s="152"/>
      <c r="L219" s="177" t="s">
        <v>421</v>
      </c>
      <c r="M219" s="152"/>
      <c r="N219" s="83">
        <f>61500/1000</f>
        <v>61.5</v>
      </c>
      <c r="O219" s="83">
        <f>61500/1000</f>
        <v>61.5</v>
      </c>
      <c r="P219" s="83">
        <f>46800/1000</f>
        <v>46.8</v>
      </c>
      <c r="Q219" s="83">
        <v>33.1</v>
      </c>
      <c r="R219" s="86">
        <v>33.1</v>
      </c>
      <c r="S219" s="86">
        <v>33.1</v>
      </c>
    </row>
    <row r="220" spans="1:19" s="3" customFormat="1" ht="66.75" customHeight="1">
      <c r="A220" s="165"/>
      <c r="B220" s="187"/>
      <c r="C220" s="12"/>
      <c r="D220" s="191"/>
      <c r="E220" s="153"/>
      <c r="F220" s="153"/>
      <c r="G220" s="153"/>
      <c r="H220" s="153"/>
      <c r="I220" s="153"/>
      <c r="J220" s="153"/>
      <c r="K220" s="153"/>
      <c r="L220" s="177"/>
      <c r="M220" s="153"/>
      <c r="N220" s="89">
        <f>1167500/1000</f>
        <v>1167.5</v>
      </c>
      <c r="O220" s="89">
        <f>1167500/1000</f>
        <v>1167.5</v>
      </c>
      <c r="P220" s="89">
        <v>0</v>
      </c>
      <c r="Q220" s="89">
        <v>0</v>
      </c>
      <c r="R220" s="89">
        <v>0</v>
      </c>
      <c r="S220" s="89">
        <v>0</v>
      </c>
    </row>
    <row r="221" spans="1:19" s="3" customFormat="1" ht="60.75" customHeight="1" hidden="1">
      <c r="A221" s="69" t="s">
        <v>641</v>
      </c>
      <c r="B221" s="11" t="s">
        <v>640</v>
      </c>
      <c r="C221" s="18"/>
      <c r="D221" s="73"/>
      <c r="E221" s="7"/>
      <c r="F221" s="7"/>
      <c r="G221" s="7"/>
      <c r="H221" s="7"/>
      <c r="I221" s="7"/>
      <c r="J221" s="7"/>
      <c r="K221" s="7"/>
      <c r="L221" s="7"/>
      <c r="M221" s="41"/>
      <c r="N221" s="83"/>
      <c r="O221" s="83"/>
      <c r="P221" s="83"/>
      <c r="Q221" s="83"/>
      <c r="R221" s="86"/>
      <c r="S221" s="86"/>
    </row>
    <row r="222" spans="1:19" s="3" customFormat="1" ht="46.5" customHeight="1">
      <c r="A222" s="188" t="s">
        <v>642</v>
      </c>
      <c r="B222" s="187" t="s">
        <v>533</v>
      </c>
      <c r="C222" s="195"/>
      <c r="D222" s="74" t="s">
        <v>376</v>
      </c>
      <c r="E222" s="177" t="s">
        <v>456</v>
      </c>
      <c r="F222" s="177" t="s">
        <v>117</v>
      </c>
      <c r="G222" s="177" t="s">
        <v>458</v>
      </c>
      <c r="H222" s="151" t="s">
        <v>803</v>
      </c>
      <c r="I222" s="151" t="s">
        <v>144</v>
      </c>
      <c r="J222" s="151" t="s">
        <v>116</v>
      </c>
      <c r="K222" s="177" t="s">
        <v>1189</v>
      </c>
      <c r="L222" s="177" t="s">
        <v>30</v>
      </c>
      <c r="M222" s="193" t="s">
        <v>389</v>
      </c>
      <c r="N222" s="83">
        <f>4074000/1000</f>
        <v>4074</v>
      </c>
      <c r="O222" s="83">
        <f>3667416.36/1000</f>
        <v>3667.4163599999997</v>
      </c>
      <c r="P222" s="83">
        <f>4644000/1000</f>
        <v>4644</v>
      </c>
      <c r="Q222" s="83">
        <v>3654</v>
      </c>
      <c r="R222" s="83">
        <v>3654</v>
      </c>
      <c r="S222" s="83">
        <v>3654</v>
      </c>
    </row>
    <row r="223" spans="1:19" s="3" customFormat="1" ht="46.5" customHeight="1">
      <c r="A223" s="188"/>
      <c r="B223" s="187"/>
      <c r="C223" s="195"/>
      <c r="D223" s="75" t="s">
        <v>35</v>
      </c>
      <c r="E223" s="177"/>
      <c r="F223" s="177"/>
      <c r="G223" s="177"/>
      <c r="H223" s="152"/>
      <c r="I223" s="152"/>
      <c r="J223" s="152"/>
      <c r="K223" s="177"/>
      <c r="L223" s="177"/>
      <c r="M223" s="193"/>
      <c r="N223" s="84">
        <f>13298000/1000</f>
        <v>13298</v>
      </c>
      <c r="O223" s="84">
        <f>11831954.02/1000</f>
        <v>11831.95402</v>
      </c>
      <c r="P223" s="84">
        <f>15091000/1000</f>
        <v>15091</v>
      </c>
      <c r="Q223" s="84">
        <v>13021</v>
      </c>
      <c r="R223" s="84">
        <v>13021</v>
      </c>
      <c r="S223" s="84">
        <v>13021</v>
      </c>
    </row>
    <row r="224" spans="1:19" s="3" customFormat="1" ht="46.5" customHeight="1">
      <c r="A224" s="188"/>
      <c r="B224" s="187"/>
      <c r="C224" s="195"/>
      <c r="D224" s="75" t="s">
        <v>35</v>
      </c>
      <c r="E224" s="177"/>
      <c r="F224" s="177"/>
      <c r="G224" s="177"/>
      <c r="H224" s="153"/>
      <c r="I224" s="153"/>
      <c r="J224" s="153"/>
      <c r="K224" s="177"/>
      <c r="L224" s="177"/>
      <c r="M224" s="193"/>
      <c r="N224" s="84">
        <f>2526000/1000</f>
        <v>2526</v>
      </c>
      <c r="O224" s="84">
        <f>2431575.01/1000</f>
        <v>2431.5750099999996</v>
      </c>
      <c r="P224" s="84">
        <f>3158000/1000</f>
        <v>3158</v>
      </c>
      <c r="Q224" s="84">
        <v>2497</v>
      </c>
      <c r="R224" s="84">
        <v>2497</v>
      </c>
      <c r="S224" s="84">
        <v>2497</v>
      </c>
    </row>
    <row r="225" spans="1:19" s="3" customFormat="1" ht="233.25" customHeight="1">
      <c r="A225" s="66" t="s">
        <v>643</v>
      </c>
      <c r="B225" s="11" t="s">
        <v>547</v>
      </c>
      <c r="C225" s="12"/>
      <c r="D225" s="73" t="s">
        <v>35</v>
      </c>
      <c r="E225" s="7" t="s">
        <v>804</v>
      </c>
      <c r="F225" s="7" t="s">
        <v>135</v>
      </c>
      <c r="G225" s="7" t="s">
        <v>805</v>
      </c>
      <c r="H225" s="7" t="s">
        <v>808</v>
      </c>
      <c r="I225" s="7" t="s">
        <v>239</v>
      </c>
      <c r="J225" s="7" t="s">
        <v>806</v>
      </c>
      <c r="K225" s="7" t="s">
        <v>412</v>
      </c>
      <c r="L225" s="7" t="s">
        <v>30</v>
      </c>
      <c r="M225" s="10" t="s">
        <v>413</v>
      </c>
      <c r="N225" s="81">
        <f>6981000/1000</f>
        <v>6981</v>
      </c>
      <c r="O225" s="81">
        <f>6759644.86/1000</f>
        <v>6759.64486</v>
      </c>
      <c r="P225" s="81">
        <f>7302000/1000</f>
        <v>7302</v>
      </c>
      <c r="Q225" s="81">
        <v>3542</v>
      </c>
      <c r="R225" s="81">
        <v>7085</v>
      </c>
      <c r="S225" s="81">
        <v>0</v>
      </c>
    </row>
    <row r="226" spans="1:19" s="3" customFormat="1" ht="98.25" customHeight="1">
      <c r="A226" s="66" t="s">
        <v>644</v>
      </c>
      <c r="B226" s="11" t="s">
        <v>546</v>
      </c>
      <c r="C226" s="12"/>
      <c r="D226" s="73" t="s">
        <v>35</v>
      </c>
      <c r="E226" s="7" t="s">
        <v>130</v>
      </c>
      <c r="F226" s="7" t="s">
        <v>132</v>
      </c>
      <c r="G226" s="7" t="s">
        <v>131</v>
      </c>
      <c r="H226" s="7" t="s">
        <v>808</v>
      </c>
      <c r="I226" s="7" t="s">
        <v>239</v>
      </c>
      <c r="J226" s="7" t="s">
        <v>160</v>
      </c>
      <c r="K226" s="7" t="s">
        <v>412</v>
      </c>
      <c r="L226" s="7" t="s">
        <v>499</v>
      </c>
      <c r="M226" s="10" t="s">
        <v>413</v>
      </c>
      <c r="N226" s="81">
        <f>226000/1000</f>
        <v>226</v>
      </c>
      <c r="O226" s="81">
        <f>212368.24/1000</f>
        <v>212.36824</v>
      </c>
      <c r="P226" s="81">
        <f>262000/1000</f>
        <v>262</v>
      </c>
      <c r="Q226" s="81">
        <v>188</v>
      </c>
      <c r="R226" s="82">
        <v>169</v>
      </c>
      <c r="S226" s="82">
        <v>169</v>
      </c>
    </row>
    <row r="227" spans="1:19" s="3" customFormat="1" ht="158.25" customHeight="1">
      <c r="A227" s="66" t="s">
        <v>645</v>
      </c>
      <c r="B227" s="11" t="s">
        <v>545</v>
      </c>
      <c r="C227" s="12"/>
      <c r="D227" s="73" t="s">
        <v>35</v>
      </c>
      <c r="E227" s="7" t="s">
        <v>456</v>
      </c>
      <c r="F227" s="7" t="s">
        <v>807</v>
      </c>
      <c r="G227" s="7" t="s">
        <v>458</v>
      </c>
      <c r="H227" s="7" t="s">
        <v>809</v>
      </c>
      <c r="I227" s="7" t="s">
        <v>240</v>
      </c>
      <c r="J227" s="7" t="s">
        <v>210</v>
      </c>
      <c r="K227" s="7" t="s">
        <v>1105</v>
      </c>
      <c r="L227" s="7" t="s">
        <v>153</v>
      </c>
      <c r="M227" s="10" t="s">
        <v>486</v>
      </c>
      <c r="N227" s="81">
        <f>(173130770+661950+10341280)/1000</f>
        <v>184134</v>
      </c>
      <c r="O227" s="81">
        <f>(173123818.76+661850+10339395.9)/1000</f>
        <v>184125.06466</v>
      </c>
      <c r="P227" s="81">
        <f>217742300/1000</f>
        <v>217742.3</v>
      </c>
      <c r="Q227" s="81">
        <v>234036</v>
      </c>
      <c r="R227" s="82">
        <v>243316</v>
      </c>
      <c r="S227" s="82">
        <v>243958</v>
      </c>
    </row>
    <row r="228" spans="1:19" s="3" customFormat="1" ht="168.75" customHeight="1">
      <c r="A228" s="66" t="s">
        <v>646</v>
      </c>
      <c r="B228" s="11" t="s">
        <v>531</v>
      </c>
      <c r="C228" s="18"/>
      <c r="D228" s="73" t="s">
        <v>340</v>
      </c>
      <c r="E228" s="7" t="s">
        <v>810</v>
      </c>
      <c r="F228" s="7" t="s">
        <v>811</v>
      </c>
      <c r="G228" s="10" t="s">
        <v>812</v>
      </c>
      <c r="H228" s="7" t="s">
        <v>813</v>
      </c>
      <c r="I228" s="7" t="s">
        <v>76</v>
      </c>
      <c r="J228" s="7" t="s">
        <v>77</v>
      </c>
      <c r="K228" s="7" t="s">
        <v>1190</v>
      </c>
      <c r="L228" s="52" t="s">
        <v>170</v>
      </c>
      <c r="M228" s="52" t="s">
        <v>686</v>
      </c>
      <c r="N228" s="81">
        <f>39000/1000</f>
        <v>39</v>
      </c>
      <c r="O228" s="81">
        <f>38310.68/1000</f>
        <v>38.31068</v>
      </c>
      <c r="P228" s="81">
        <f>44000/1000</f>
        <v>44</v>
      </c>
      <c r="Q228" s="81">
        <v>46</v>
      </c>
      <c r="R228" s="82">
        <v>48</v>
      </c>
      <c r="S228" s="82">
        <v>48</v>
      </c>
    </row>
    <row r="229" spans="1:19" s="3" customFormat="1" ht="185.25" customHeight="1">
      <c r="A229" s="66" t="s">
        <v>647</v>
      </c>
      <c r="B229" s="11" t="s">
        <v>535</v>
      </c>
      <c r="C229" s="12"/>
      <c r="D229" s="73" t="s">
        <v>477</v>
      </c>
      <c r="E229" s="7" t="s">
        <v>141</v>
      </c>
      <c r="F229" s="7" t="s">
        <v>142</v>
      </c>
      <c r="G229" s="7" t="s">
        <v>143</v>
      </c>
      <c r="H229" s="7" t="s">
        <v>814</v>
      </c>
      <c r="I229" s="7" t="s">
        <v>139</v>
      </c>
      <c r="J229" s="10" t="s">
        <v>140</v>
      </c>
      <c r="K229" s="7" t="s">
        <v>1191</v>
      </c>
      <c r="L229" s="10" t="s">
        <v>354</v>
      </c>
      <c r="M229" s="10" t="s">
        <v>414</v>
      </c>
      <c r="N229" s="81">
        <f>17000/1000</f>
        <v>17</v>
      </c>
      <c r="O229" s="81">
        <f>17000/1000</f>
        <v>17</v>
      </c>
      <c r="P229" s="81">
        <f>19000/1000</f>
        <v>19</v>
      </c>
      <c r="Q229" s="81">
        <v>20</v>
      </c>
      <c r="R229" s="82">
        <v>21</v>
      </c>
      <c r="S229" s="82">
        <v>21</v>
      </c>
    </row>
    <row r="230" spans="1:19" s="3" customFormat="1" ht="26.25" customHeight="1" hidden="1">
      <c r="A230" s="66" t="s">
        <v>648</v>
      </c>
      <c r="B230" s="11" t="s">
        <v>649</v>
      </c>
      <c r="C230" s="12"/>
      <c r="D230" s="73"/>
      <c r="E230" s="7"/>
      <c r="F230" s="7"/>
      <c r="G230" s="7"/>
      <c r="H230" s="7"/>
      <c r="I230" s="7"/>
      <c r="J230" s="10"/>
      <c r="K230" s="7"/>
      <c r="L230" s="10"/>
      <c r="M230" s="10"/>
      <c r="N230" s="83"/>
      <c r="O230" s="83"/>
      <c r="P230" s="83"/>
      <c r="Q230" s="83"/>
      <c r="R230" s="86"/>
      <c r="S230" s="86"/>
    </row>
    <row r="231" spans="1:19" s="3" customFormat="1" ht="158.25" customHeight="1">
      <c r="A231" s="66" t="s">
        <v>650</v>
      </c>
      <c r="B231" s="11" t="s">
        <v>326</v>
      </c>
      <c r="C231" s="12"/>
      <c r="D231" s="73" t="s">
        <v>222</v>
      </c>
      <c r="E231" s="7" t="s">
        <v>815</v>
      </c>
      <c r="F231" s="7" t="s">
        <v>259</v>
      </c>
      <c r="G231" s="10" t="s">
        <v>252</v>
      </c>
      <c r="H231" s="7" t="s">
        <v>816</v>
      </c>
      <c r="I231" s="7" t="s">
        <v>153</v>
      </c>
      <c r="J231" s="7" t="s">
        <v>160</v>
      </c>
      <c r="K231" s="7" t="s">
        <v>719</v>
      </c>
      <c r="L231" s="7" t="s">
        <v>421</v>
      </c>
      <c r="M231" s="7" t="s">
        <v>549</v>
      </c>
      <c r="N231" s="81">
        <f>26468/1000</f>
        <v>26.468</v>
      </c>
      <c r="O231" s="81">
        <f>991/1000</f>
        <v>0.991</v>
      </c>
      <c r="P231" s="81">
        <f>9174/1000</f>
        <v>9.174</v>
      </c>
      <c r="Q231" s="81">
        <v>0</v>
      </c>
      <c r="R231" s="81">
        <v>0</v>
      </c>
      <c r="S231" s="81">
        <v>0</v>
      </c>
    </row>
    <row r="232" spans="1:19" s="3" customFormat="1" ht="39" customHeight="1" hidden="1">
      <c r="A232" s="66" t="s">
        <v>651</v>
      </c>
      <c r="B232" s="11" t="s">
        <v>652</v>
      </c>
      <c r="C232" s="12"/>
      <c r="D232" s="73"/>
      <c r="E232" s="7"/>
      <c r="F232" s="7"/>
      <c r="G232" s="10"/>
      <c r="H232" s="7"/>
      <c r="I232" s="7"/>
      <c r="J232" s="7"/>
      <c r="K232" s="7"/>
      <c r="L232" s="7"/>
      <c r="M232" s="7"/>
      <c r="N232" s="83"/>
      <c r="O232" s="83"/>
      <c r="P232" s="83"/>
      <c r="Q232" s="83"/>
      <c r="R232" s="83"/>
      <c r="S232" s="83"/>
    </row>
    <row r="233" spans="1:19" s="3" customFormat="1" ht="120" customHeight="1" hidden="1">
      <c r="A233" s="66" t="s">
        <v>653</v>
      </c>
      <c r="B233" s="11" t="s">
        <v>654</v>
      </c>
      <c r="C233" s="12"/>
      <c r="D233" s="73"/>
      <c r="E233" s="7"/>
      <c r="F233" s="7"/>
      <c r="G233" s="10"/>
      <c r="H233" s="7"/>
      <c r="I233" s="7"/>
      <c r="J233" s="7"/>
      <c r="K233" s="7"/>
      <c r="L233" s="7"/>
      <c r="M233" s="7"/>
      <c r="N233" s="83"/>
      <c r="O233" s="83"/>
      <c r="P233" s="83"/>
      <c r="Q233" s="83"/>
      <c r="R233" s="83"/>
      <c r="S233" s="83"/>
    </row>
    <row r="234" spans="1:19" s="3" customFormat="1" ht="75" customHeight="1" hidden="1">
      <c r="A234" s="66" t="s">
        <v>655</v>
      </c>
      <c r="B234" s="11" t="s">
        <v>656</v>
      </c>
      <c r="C234" s="12"/>
      <c r="D234" s="73"/>
      <c r="E234" s="7"/>
      <c r="F234" s="7"/>
      <c r="G234" s="10"/>
      <c r="H234" s="7"/>
      <c r="I234" s="7"/>
      <c r="J234" s="7"/>
      <c r="K234" s="7"/>
      <c r="L234" s="7"/>
      <c r="M234" s="7"/>
      <c r="N234" s="83"/>
      <c r="O234" s="83"/>
      <c r="P234" s="83"/>
      <c r="Q234" s="83"/>
      <c r="R234" s="83"/>
      <c r="S234" s="83"/>
    </row>
    <row r="235" spans="1:19" s="3" customFormat="1" ht="135.75" customHeight="1" hidden="1">
      <c r="A235" s="66" t="s">
        <v>657</v>
      </c>
      <c r="B235" s="11" t="s">
        <v>658</v>
      </c>
      <c r="C235" s="12"/>
      <c r="D235" s="73"/>
      <c r="E235" s="7"/>
      <c r="F235" s="7"/>
      <c r="G235" s="10"/>
      <c r="H235" s="7"/>
      <c r="I235" s="7"/>
      <c r="J235" s="7"/>
      <c r="K235" s="7"/>
      <c r="L235" s="7"/>
      <c r="M235" s="7"/>
      <c r="N235" s="83"/>
      <c r="O235" s="83"/>
      <c r="P235" s="83"/>
      <c r="Q235" s="83"/>
      <c r="R235" s="83"/>
      <c r="S235" s="83"/>
    </row>
    <row r="236" spans="1:19" s="3" customFormat="1" ht="39.75" customHeight="1" hidden="1">
      <c r="A236" s="66" t="s">
        <v>659</v>
      </c>
      <c r="B236" s="11" t="s">
        <v>660</v>
      </c>
      <c r="C236" s="12"/>
      <c r="D236" s="73"/>
      <c r="E236" s="7"/>
      <c r="F236" s="7"/>
      <c r="G236" s="10"/>
      <c r="H236" s="7"/>
      <c r="I236" s="7"/>
      <c r="J236" s="7"/>
      <c r="K236" s="7"/>
      <c r="L236" s="7"/>
      <c r="M236" s="7"/>
      <c r="N236" s="83"/>
      <c r="O236" s="83"/>
      <c r="P236" s="83"/>
      <c r="Q236" s="83"/>
      <c r="R236" s="83"/>
      <c r="S236" s="83"/>
    </row>
    <row r="237" spans="1:19" s="3" customFormat="1" ht="120" customHeight="1">
      <c r="A237" s="66" t="s">
        <v>661</v>
      </c>
      <c r="B237" s="11" t="s">
        <v>539</v>
      </c>
      <c r="C237" s="18"/>
      <c r="D237" s="73" t="s">
        <v>340</v>
      </c>
      <c r="E237" s="7" t="s">
        <v>344</v>
      </c>
      <c r="F237" s="7" t="s">
        <v>345</v>
      </c>
      <c r="G237" s="7" t="s">
        <v>346</v>
      </c>
      <c r="H237" s="7" t="s">
        <v>282</v>
      </c>
      <c r="I237" s="7" t="s">
        <v>259</v>
      </c>
      <c r="J237" s="7" t="s">
        <v>283</v>
      </c>
      <c r="K237" s="7" t="s">
        <v>1192</v>
      </c>
      <c r="L237" s="7" t="s">
        <v>421</v>
      </c>
      <c r="M237" s="7" t="s">
        <v>335</v>
      </c>
      <c r="N237" s="81">
        <f>2572300/1000</f>
        <v>2572.3</v>
      </c>
      <c r="O237" s="81">
        <f>2521044.36/1000</f>
        <v>2521.04436</v>
      </c>
      <c r="P237" s="81">
        <f>3313000/1000</f>
        <v>3313</v>
      </c>
      <c r="Q237" s="81">
        <v>3547.4</v>
      </c>
      <c r="R237" s="82">
        <v>3703.1</v>
      </c>
      <c r="S237" s="82">
        <v>3703.1</v>
      </c>
    </row>
    <row r="238" spans="1:19" s="3" customFormat="1" ht="120" customHeight="1">
      <c r="A238" s="66" t="s">
        <v>662</v>
      </c>
      <c r="B238" s="11" t="s">
        <v>441</v>
      </c>
      <c r="C238" s="18"/>
      <c r="D238" s="73" t="s">
        <v>340</v>
      </c>
      <c r="E238" s="7" t="s">
        <v>344</v>
      </c>
      <c r="F238" s="7" t="s">
        <v>345</v>
      </c>
      <c r="G238" s="7" t="s">
        <v>346</v>
      </c>
      <c r="H238" s="7" t="s">
        <v>817</v>
      </c>
      <c r="I238" s="7" t="s">
        <v>343</v>
      </c>
      <c r="J238" s="7" t="s">
        <v>342</v>
      </c>
      <c r="K238" s="7" t="s">
        <v>1193</v>
      </c>
      <c r="L238" s="7" t="s">
        <v>421</v>
      </c>
      <c r="M238" s="7" t="s">
        <v>371</v>
      </c>
      <c r="N238" s="81">
        <f>18900/1000</f>
        <v>18.9</v>
      </c>
      <c r="O238" s="81">
        <f>13200.37/1000</f>
        <v>13.200370000000001</v>
      </c>
      <c r="P238" s="81">
        <f>19900/1000</f>
        <v>19.9</v>
      </c>
      <c r="Q238" s="81">
        <v>20.1</v>
      </c>
      <c r="R238" s="82">
        <v>21</v>
      </c>
      <c r="S238" s="82">
        <v>21</v>
      </c>
    </row>
    <row r="239" spans="1:19" s="3" customFormat="1" ht="144.75" customHeight="1">
      <c r="A239" s="66" t="s">
        <v>663</v>
      </c>
      <c r="B239" s="11" t="s">
        <v>548</v>
      </c>
      <c r="C239" s="12"/>
      <c r="D239" s="73" t="s">
        <v>16</v>
      </c>
      <c r="E239" s="7" t="s">
        <v>456</v>
      </c>
      <c r="F239" s="7" t="s">
        <v>818</v>
      </c>
      <c r="G239" s="7" t="s">
        <v>458</v>
      </c>
      <c r="H239" s="7" t="s">
        <v>819</v>
      </c>
      <c r="I239" s="7" t="s">
        <v>820</v>
      </c>
      <c r="J239" s="7" t="s">
        <v>821</v>
      </c>
      <c r="K239" s="7" t="s">
        <v>1194</v>
      </c>
      <c r="L239" s="7" t="s">
        <v>421</v>
      </c>
      <c r="M239" s="10" t="s">
        <v>364</v>
      </c>
      <c r="N239" s="81">
        <f>426100/1000</f>
        <v>426.1</v>
      </c>
      <c r="O239" s="81">
        <f>425174.55/1000</f>
        <v>425.17455</v>
      </c>
      <c r="P239" s="81">
        <v>0</v>
      </c>
      <c r="Q239" s="81">
        <v>0</v>
      </c>
      <c r="R239" s="82">
        <v>0</v>
      </c>
      <c r="S239" s="82">
        <v>0</v>
      </c>
    </row>
    <row r="240" spans="1:19" s="3" customFormat="1" ht="89.25" customHeight="1">
      <c r="A240" s="188" t="s">
        <v>664</v>
      </c>
      <c r="B240" s="187" t="s">
        <v>541</v>
      </c>
      <c r="C240" s="12"/>
      <c r="D240" s="74" t="s">
        <v>438</v>
      </c>
      <c r="E240" s="151" t="s">
        <v>81</v>
      </c>
      <c r="F240" s="151" t="s">
        <v>98</v>
      </c>
      <c r="G240" s="151" t="s">
        <v>82</v>
      </c>
      <c r="H240" s="151" t="s">
        <v>823</v>
      </c>
      <c r="I240" s="151" t="s">
        <v>239</v>
      </c>
      <c r="J240" s="151" t="s">
        <v>822</v>
      </c>
      <c r="K240" s="197" t="s">
        <v>1195</v>
      </c>
      <c r="L240" s="151" t="s">
        <v>135</v>
      </c>
      <c r="M240" s="154" t="s">
        <v>542</v>
      </c>
      <c r="N240" s="83">
        <f>5901200/1000</f>
        <v>5901.2</v>
      </c>
      <c r="O240" s="83">
        <f>5032168.56/1000</f>
        <v>5032.168559999999</v>
      </c>
      <c r="P240" s="83">
        <f>5775500/1000</f>
        <v>5775.5</v>
      </c>
      <c r="Q240" s="148">
        <f>6741.7+19239.4+1729+45762+5836.8+3040.8</f>
        <v>82349.70000000001</v>
      </c>
      <c r="R240" s="148">
        <f>7027.8+20055.9+1802.4+47704</f>
        <v>76590.1</v>
      </c>
      <c r="S240" s="148">
        <f>7104.2+20273.9+1822+48222.5</f>
        <v>77422.6</v>
      </c>
    </row>
    <row r="241" spans="1:19" s="3" customFormat="1" ht="89.25" customHeight="1">
      <c r="A241" s="188"/>
      <c r="B241" s="187"/>
      <c r="C241" s="12"/>
      <c r="D241" s="77" t="s">
        <v>246</v>
      </c>
      <c r="E241" s="153"/>
      <c r="F241" s="153"/>
      <c r="G241" s="153"/>
      <c r="H241" s="153"/>
      <c r="I241" s="153"/>
      <c r="J241" s="153"/>
      <c r="K241" s="198"/>
      <c r="L241" s="153"/>
      <c r="M241" s="156"/>
      <c r="N241" s="89">
        <f>2710800/1000</f>
        <v>2710.8</v>
      </c>
      <c r="O241" s="89">
        <f>2387078.11/1000</f>
        <v>2387.07811</v>
      </c>
      <c r="P241" s="89">
        <f>2724500/1000</f>
        <v>2724.5</v>
      </c>
      <c r="Q241" s="150"/>
      <c r="R241" s="150"/>
      <c r="S241" s="150"/>
    </row>
    <row r="242" spans="1:19" s="3" customFormat="1" ht="123" customHeight="1">
      <c r="A242" s="66" t="s">
        <v>665</v>
      </c>
      <c r="B242" s="11" t="s">
        <v>536</v>
      </c>
      <c r="C242" s="12"/>
      <c r="D242" s="73" t="s">
        <v>35</v>
      </c>
      <c r="E242" s="7" t="s">
        <v>824</v>
      </c>
      <c r="F242" s="7" t="s">
        <v>820</v>
      </c>
      <c r="G242" s="7" t="s">
        <v>825</v>
      </c>
      <c r="H242" s="7" t="s">
        <v>799</v>
      </c>
      <c r="I242" s="7" t="s">
        <v>828</v>
      </c>
      <c r="J242" s="10" t="s">
        <v>822</v>
      </c>
      <c r="K242" s="7" t="s">
        <v>1186</v>
      </c>
      <c r="L242" s="7" t="s">
        <v>718</v>
      </c>
      <c r="M242" s="10" t="s">
        <v>550</v>
      </c>
      <c r="N242" s="81">
        <f>719355/1000</f>
        <v>719.355</v>
      </c>
      <c r="O242" s="81">
        <f>719355/1000</f>
        <v>719.355</v>
      </c>
      <c r="P242" s="81">
        <f>1493477/1000</f>
        <v>1493.477</v>
      </c>
      <c r="Q242" s="81">
        <v>1385</v>
      </c>
      <c r="R242" s="82">
        <v>1584.5</v>
      </c>
      <c r="S242" s="82">
        <v>1664.5</v>
      </c>
    </row>
    <row r="243" spans="1:19" s="3" customFormat="1" ht="163.5" customHeight="1">
      <c r="A243" s="66" t="s">
        <v>666</v>
      </c>
      <c r="B243" s="11" t="s">
        <v>544</v>
      </c>
      <c r="C243" s="12"/>
      <c r="D243" s="73" t="s">
        <v>203</v>
      </c>
      <c r="E243" s="7" t="s">
        <v>81</v>
      </c>
      <c r="F243" s="7" t="s">
        <v>28</v>
      </c>
      <c r="G243" s="7" t="s">
        <v>131</v>
      </c>
      <c r="H243" s="7" t="s">
        <v>826</v>
      </c>
      <c r="I243" s="7" t="s">
        <v>827</v>
      </c>
      <c r="J243" s="10" t="s">
        <v>822</v>
      </c>
      <c r="K243" s="7" t="s">
        <v>1196</v>
      </c>
      <c r="L243" s="10" t="s">
        <v>421</v>
      </c>
      <c r="M243" s="10" t="s">
        <v>365</v>
      </c>
      <c r="N243" s="81">
        <f>800/1000</f>
        <v>0.8</v>
      </c>
      <c r="O243" s="81">
        <v>0</v>
      </c>
      <c r="P243" s="81">
        <f>1000/1000</f>
        <v>1</v>
      </c>
      <c r="Q243" s="81">
        <v>1</v>
      </c>
      <c r="R243" s="81">
        <v>1</v>
      </c>
      <c r="S243" s="81">
        <v>1</v>
      </c>
    </row>
    <row r="244" spans="1:19" s="3" customFormat="1" ht="145.5" customHeight="1">
      <c r="A244" s="66" t="s">
        <v>667</v>
      </c>
      <c r="B244" s="11" t="s">
        <v>543</v>
      </c>
      <c r="C244" s="18"/>
      <c r="D244" s="73" t="s">
        <v>340</v>
      </c>
      <c r="E244" s="7" t="s">
        <v>862</v>
      </c>
      <c r="F244" s="7" t="s">
        <v>863</v>
      </c>
      <c r="G244" s="7" t="s">
        <v>864</v>
      </c>
      <c r="H244" s="7" t="s">
        <v>829</v>
      </c>
      <c r="I244" s="7" t="s">
        <v>736</v>
      </c>
      <c r="J244" s="10" t="s">
        <v>822</v>
      </c>
      <c r="K244" s="7" t="s">
        <v>1197</v>
      </c>
      <c r="L244" s="7" t="s">
        <v>421</v>
      </c>
      <c r="M244" s="7" t="s">
        <v>468</v>
      </c>
      <c r="N244" s="81">
        <f>445000/1000</f>
        <v>445</v>
      </c>
      <c r="O244" s="81">
        <f>385782.79/1000</f>
        <v>385.78279</v>
      </c>
      <c r="P244" s="81">
        <f>510000/1000</f>
        <v>510</v>
      </c>
      <c r="Q244" s="81">
        <v>529</v>
      </c>
      <c r="R244" s="82">
        <v>552</v>
      </c>
      <c r="S244" s="82">
        <v>552</v>
      </c>
    </row>
    <row r="245" spans="1:19" s="3" customFormat="1" ht="66" customHeight="1">
      <c r="A245" s="163" t="s">
        <v>668</v>
      </c>
      <c r="B245" s="157" t="s">
        <v>524</v>
      </c>
      <c r="C245" s="12"/>
      <c r="D245" s="166" t="s">
        <v>376</v>
      </c>
      <c r="E245" s="151" t="s">
        <v>865</v>
      </c>
      <c r="F245" s="151" t="s">
        <v>792</v>
      </c>
      <c r="G245" s="151" t="s">
        <v>866</v>
      </c>
      <c r="H245" s="151" t="s">
        <v>830</v>
      </c>
      <c r="I245" s="151" t="s">
        <v>831</v>
      </c>
      <c r="J245" s="154" t="s">
        <v>15</v>
      </c>
      <c r="K245" s="151" t="s">
        <v>1198</v>
      </c>
      <c r="L245" s="151" t="s">
        <v>135</v>
      </c>
      <c r="M245" s="151" t="s">
        <v>532</v>
      </c>
      <c r="N245" s="83">
        <f>205312/1000</f>
        <v>205.312</v>
      </c>
      <c r="O245" s="83">
        <f>205312/1000</f>
        <v>205.312</v>
      </c>
      <c r="P245" s="83">
        <f>419980/1000</f>
        <v>419.98</v>
      </c>
      <c r="Q245" s="83">
        <v>446.5</v>
      </c>
      <c r="R245" s="83">
        <v>466.4</v>
      </c>
      <c r="S245" s="83">
        <v>467.6</v>
      </c>
    </row>
    <row r="246" spans="1:19" s="3" customFormat="1" ht="66" customHeight="1">
      <c r="A246" s="165"/>
      <c r="B246" s="159"/>
      <c r="C246" s="12"/>
      <c r="D246" s="168"/>
      <c r="E246" s="153"/>
      <c r="F246" s="153"/>
      <c r="G246" s="153"/>
      <c r="H246" s="153"/>
      <c r="I246" s="153"/>
      <c r="J246" s="153"/>
      <c r="K246" s="153"/>
      <c r="L246" s="153"/>
      <c r="M246" s="153"/>
      <c r="N246" s="89">
        <f>98188/1000</f>
        <v>98.188</v>
      </c>
      <c r="O246" s="89">
        <f>98188/1000</f>
        <v>98.188</v>
      </c>
      <c r="P246" s="89">
        <v>0</v>
      </c>
      <c r="Q246" s="89">
        <v>0</v>
      </c>
      <c r="R246" s="89">
        <v>0</v>
      </c>
      <c r="S246" s="89">
        <v>0</v>
      </c>
    </row>
    <row r="247" spans="1:19" s="2" customFormat="1" ht="138.75" customHeight="1">
      <c r="A247" s="66" t="s">
        <v>669</v>
      </c>
      <c r="B247" s="11" t="s">
        <v>469</v>
      </c>
      <c r="C247" s="12"/>
      <c r="D247" s="73" t="s">
        <v>332</v>
      </c>
      <c r="E247" s="7" t="s">
        <v>832</v>
      </c>
      <c r="F247" s="7" t="s">
        <v>833</v>
      </c>
      <c r="G247" s="7" t="s">
        <v>834</v>
      </c>
      <c r="H247" s="7" t="s">
        <v>835</v>
      </c>
      <c r="I247" s="7" t="s">
        <v>820</v>
      </c>
      <c r="J247" s="7" t="s">
        <v>822</v>
      </c>
      <c r="K247" s="7" t="s">
        <v>1199</v>
      </c>
      <c r="L247" s="7" t="s">
        <v>421</v>
      </c>
      <c r="M247" s="7" t="s">
        <v>328</v>
      </c>
      <c r="N247" s="81">
        <f>156700/1000</f>
        <v>156.7</v>
      </c>
      <c r="O247" s="81">
        <f>95892.4/1000</f>
        <v>95.8924</v>
      </c>
      <c r="P247" s="81">
        <f>199430/1000</f>
        <v>199.43</v>
      </c>
      <c r="Q247" s="81">
        <v>0</v>
      </c>
      <c r="R247" s="82">
        <v>0</v>
      </c>
      <c r="S247" s="82">
        <v>0</v>
      </c>
    </row>
    <row r="248" spans="1:19" s="2" customFormat="1" ht="207.75" customHeight="1">
      <c r="A248" s="66" t="s">
        <v>1115</v>
      </c>
      <c r="B248" s="11" t="s">
        <v>1106</v>
      </c>
      <c r="C248" s="12"/>
      <c r="D248" s="73" t="s">
        <v>496</v>
      </c>
      <c r="E248" s="7" t="s">
        <v>1109</v>
      </c>
      <c r="F248" s="7" t="s">
        <v>1110</v>
      </c>
      <c r="G248" s="7" t="s">
        <v>1111</v>
      </c>
      <c r="H248" s="7" t="s">
        <v>1112</v>
      </c>
      <c r="I248" s="7" t="s">
        <v>1113</v>
      </c>
      <c r="J248" s="7" t="s">
        <v>1114</v>
      </c>
      <c r="K248" s="52" t="s">
        <v>1107</v>
      </c>
      <c r="L248" s="52" t="s">
        <v>333</v>
      </c>
      <c r="M248" s="100" t="s">
        <v>1108</v>
      </c>
      <c r="N248" s="81"/>
      <c r="O248" s="81"/>
      <c r="P248" s="81">
        <f>4318293/1000</f>
        <v>4318.293</v>
      </c>
      <c r="Q248" s="81"/>
      <c r="R248" s="82"/>
      <c r="S248" s="82"/>
    </row>
    <row r="249" spans="1:19" s="4" customFormat="1" ht="96.75" customHeight="1">
      <c r="A249" s="65" t="s">
        <v>95</v>
      </c>
      <c r="B249" s="30" t="s">
        <v>219</v>
      </c>
      <c r="C249" s="35"/>
      <c r="D249" s="73"/>
      <c r="E249" s="7"/>
      <c r="F249" s="7"/>
      <c r="G249" s="7"/>
      <c r="H249" s="7"/>
      <c r="I249" s="7"/>
      <c r="J249" s="7"/>
      <c r="K249" s="7"/>
      <c r="L249" s="7"/>
      <c r="M249" s="7"/>
      <c r="N249" s="80">
        <f>SUM(N250:N273)</f>
        <v>8993.90849</v>
      </c>
      <c r="O249" s="80">
        <f>SUM(O250:O273)</f>
        <v>8898.30253</v>
      </c>
      <c r="P249" s="80">
        <f>SUM(P250:P283)</f>
        <v>10130.09992</v>
      </c>
      <c r="Q249" s="80">
        <f>SUM(Q250:Q283)</f>
        <v>1344</v>
      </c>
      <c r="R249" s="80">
        <f>SUM(R250:R283)</f>
        <v>1413.1</v>
      </c>
      <c r="S249" s="80">
        <f>SUM(S250:S283)</f>
        <v>1481.7</v>
      </c>
    </row>
    <row r="250" spans="1:19" s="5" customFormat="1" ht="48.75" customHeight="1">
      <c r="A250" s="70"/>
      <c r="B250" s="13" t="s">
        <v>448</v>
      </c>
      <c r="C250" s="14"/>
      <c r="D250" s="73" t="s">
        <v>496</v>
      </c>
      <c r="E250" s="7" t="s">
        <v>81</v>
      </c>
      <c r="F250" s="7" t="s">
        <v>253</v>
      </c>
      <c r="G250" s="7" t="s">
        <v>82</v>
      </c>
      <c r="H250" s="7"/>
      <c r="I250" s="7"/>
      <c r="J250" s="7"/>
      <c r="K250" s="7" t="s">
        <v>501</v>
      </c>
      <c r="L250" s="7" t="s">
        <v>502</v>
      </c>
      <c r="M250" s="7" t="s">
        <v>497</v>
      </c>
      <c r="N250" s="81">
        <f>69000/1000</f>
        <v>69</v>
      </c>
      <c r="O250" s="81">
        <f>68994/1000</f>
        <v>68.994</v>
      </c>
      <c r="P250" s="81">
        <f>74000/1000</f>
        <v>74</v>
      </c>
      <c r="Q250" s="81">
        <v>74</v>
      </c>
      <c r="R250" s="82">
        <v>74</v>
      </c>
      <c r="S250" s="82">
        <v>74</v>
      </c>
    </row>
    <row r="251" spans="1:19" s="5" customFormat="1" ht="48.75" customHeight="1">
      <c r="A251" s="70"/>
      <c r="B251" s="13" t="s">
        <v>445</v>
      </c>
      <c r="C251" s="14"/>
      <c r="D251" s="73" t="s">
        <v>496</v>
      </c>
      <c r="E251" s="7" t="s">
        <v>81</v>
      </c>
      <c r="F251" s="7" t="s">
        <v>253</v>
      </c>
      <c r="G251" s="7" t="s">
        <v>82</v>
      </c>
      <c r="H251" s="7"/>
      <c r="I251" s="7"/>
      <c r="J251" s="7"/>
      <c r="K251" s="7" t="s">
        <v>287</v>
      </c>
      <c r="L251" s="7" t="s">
        <v>138</v>
      </c>
      <c r="M251" s="7" t="s">
        <v>73</v>
      </c>
      <c r="N251" s="81">
        <v>0</v>
      </c>
      <c r="O251" s="81">
        <v>0</v>
      </c>
      <c r="P251" s="81">
        <f>24000/1000</f>
        <v>24</v>
      </c>
      <c r="Q251" s="81">
        <f>24000/1000</f>
        <v>24</v>
      </c>
      <c r="R251" s="82">
        <f>24000/1000</f>
        <v>24</v>
      </c>
      <c r="S251" s="82">
        <f>24000/1000</f>
        <v>24</v>
      </c>
    </row>
    <row r="252" spans="1:19" s="3" customFormat="1" ht="24" customHeight="1" hidden="1" outlineLevel="1">
      <c r="A252" s="66"/>
      <c r="B252" s="11" t="s">
        <v>202</v>
      </c>
      <c r="C252" s="12"/>
      <c r="D252" s="73" t="s">
        <v>332</v>
      </c>
      <c r="E252" s="7" t="s">
        <v>81</v>
      </c>
      <c r="F252" s="7" t="s">
        <v>28</v>
      </c>
      <c r="G252" s="10" t="s">
        <v>338</v>
      </c>
      <c r="H252" s="7" t="s">
        <v>25</v>
      </c>
      <c r="I252" s="7" t="s">
        <v>26</v>
      </c>
      <c r="J252" s="7" t="s">
        <v>27</v>
      </c>
      <c r="K252" s="7" t="s">
        <v>134</v>
      </c>
      <c r="L252" s="7" t="s">
        <v>188</v>
      </c>
      <c r="M252" s="7" t="s">
        <v>266</v>
      </c>
      <c r="N252" s="81">
        <v>0</v>
      </c>
      <c r="O252" s="81"/>
      <c r="P252" s="81">
        <v>0</v>
      </c>
      <c r="Q252" s="81">
        <v>0</v>
      </c>
      <c r="R252" s="81">
        <v>0</v>
      </c>
      <c r="S252" s="81">
        <v>0</v>
      </c>
    </row>
    <row r="253" spans="1:19" s="3" customFormat="1" ht="28.5" customHeight="1" hidden="1" outlineLevel="1">
      <c r="A253" s="66"/>
      <c r="B253" s="11" t="s">
        <v>291</v>
      </c>
      <c r="C253" s="12"/>
      <c r="D253" s="73" t="s">
        <v>332</v>
      </c>
      <c r="E253" s="7" t="s">
        <v>81</v>
      </c>
      <c r="F253" s="7" t="s">
        <v>28</v>
      </c>
      <c r="G253" s="10" t="s">
        <v>338</v>
      </c>
      <c r="H253" s="7"/>
      <c r="I253" s="7"/>
      <c r="J253" s="7"/>
      <c r="K253" s="7" t="s">
        <v>498</v>
      </c>
      <c r="L253" s="7" t="s">
        <v>499</v>
      </c>
      <c r="M253" s="7" t="s">
        <v>377</v>
      </c>
      <c r="N253" s="81">
        <v>0</v>
      </c>
      <c r="O253" s="81"/>
      <c r="P253" s="81">
        <v>0</v>
      </c>
      <c r="Q253" s="81">
        <v>0</v>
      </c>
      <c r="R253" s="81">
        <v>0</v>
      </c>
      <c r="S253" s="81">
        <v>0</v>
      </c>
    </row>
    <row r="254" spans="1:19" s="5" customFormat="1" ht="123" customHeight="1" collapsed="1">
      <c r="A254" s="70"/>
      <c r="B254" s="13" t="s">
        <v>11</v>
      </c>
      <c r="C254" s="14"/>
      <c r="D254" s="73" t="s">
        <v>496</v>
      </c>
      <c r="E254" s="7" t="s">
        <v>81</v>
      </c>
      <c r="F254" s="7" t="s">
        <v>253</v>
      </c>
      <c r="G254" s="7" t="s">
        <v>82</v>
      </c>
      <c r="H254" s="7" t="s">
        <v>315</v>
      </c>
      <c r="I254" s="7" t="s">
        <v>191</v>
      </c>
      <c r="J254" s="7" t="s">
        <v>316</v>
      </c>
      <c r="K254" s="7" t="s">
        <v>411</v>
      </c>
      <c r="L254" s="7" t="s">
        <v>135</v>
      </c>
      <c r="M254" s="7" t="s">
        <v>146</v>
      </c>
      <c r="N254" s="81">
        <f>78078.28/1000</f>
        <v>78.07827999999999</v>
      </c>
      <c r="O254" s="81">
        <f>44124/1000</f>
        <v>44.124</v>
      </c>
      <c r="P254" s="81">
        <v>0</v>
      </c>
      <c r="Q254" s="81">
        <v>0</v>
      </c>
      <c r="R254" s="81">
        <v>0</v>
      </c>
      <c r="S254" s="81">
        <v>0</v>
      </c>
    </row>
    <row r="255" spans="1:19" s="5" customFormat="1" ht="25.5" customHeight="1" outlineLevel="1">
      <c r="A255" s="207"/>
      <c r="B255" s="157" t="s">
        <v>11</v>
      </c>
      <c r="C255" s="14"/>
      <c r="D255" s="166" t="s">
        <v>496</v>
      </c>
      <c r="E255" s="151" t="s">
        <v>910</v>
      </c>
      <c r="F255" s="151" t="s">
        <v>558</v>
      </c>
      <c r="G255" s="151" t="s">
        <v>911</v>
      </c>
      <c r="H255" s="151" t="s">
        <v>912</v>
      </c>
      <c r="I255" s="151" t="s">
        <v>913</v>
      </c>
      <c r="J255" s="154" t="s">
        <v>914</v>
      </c>
      <c r="K255" s="151" t="s">
        <v>915</v>
      </c>
      <c r="L255" s="151" t="s">
        <v>30</v>
      </c>
      <c r="M255" s="151" t="s">
        <v>916</v>
      </c>
      <c r="N255" s="83">
        <v>0</v>
      </c>
      <c r="O255" s="83">
        <v>0</v>
      </c>
      <c r="P255" s="83">
        <f>86428/1000</f>
        <v>86.428</v>
      </c>
      <c r="Q255" s="83">
        <v>300</v>
      </c>
      <c r="R255" s="86">
        <v>317.7</v>
      </c>
      <c r="S255" s="86">
        <v>334.2</v>
      </c>
    </row>
    <row r="256" spans="1:19" s="5" customFormat="1" ht="25.5" customHeight="1" outlineLevel="1">
      <c r="A256" s="208"/>
      <c r="B256" s="158"/>
      <c r="C256" s="14"/>
      <c r="D256" s="167"/>
      <c r="E256" s="152"/>
      <c r="F256" s="152"/>
      <c r="G256" s="152"/>
      <c r="H256" s="152"/>
      <c r="I256" s="152"/>
      <c r="J256" s="155"/>
      <c r="K256" s="152"/>
      <c r="L256" s="152"/>
      <c r="M256" s="152"/>
      <c r="N256" s="84">
        <v>0</v>
      </c>
      <c r="O256" s="84">
        <v>0</v>
      </c>
      <c r="P256" s="84">
        <f>213190/1000</f>
        <v>213.19</v>
      </c>
      <c r="Q256" s="84">
        <v>0</v>
      </c>
      <c r="R256" s="99">
        <v>0</v>
      </c>
      <c r="S256" s="99">
        <v>0</v>
      </c>
    </row>
    <row r="257" spans="1:19" s="5" customFormat="1" ht="25.5" customHeight="1" outlineLevel="1">
      <c r="A257" s="209"/>
      <c r="B257" s="159"/>
      <c r="C257" s="14"/>
      <c r="D257" s="168"/>
      <c r="E257" s="153"/>
      <c r="F257" s="153"/>
      <c r="G257" s="153"/>
      <c r="H257" s="153"/>
      <c r="I257" s="153"/>
      <c r="J257" s="156"/>
      <c r="K257" s="153"/>
      <c r="L257" s="153"/>
      <c r="M257" s="153"/>
      <c r="N257" s="89">
        <v>0</v>
      </c>
      <c r="O257" s="89">
        <v>0</v>
      </c>
      <c r="P257" s="89">
        <f>86428/1000</f>
        <v>86.428</v>
      </c>
      <c r="Q257" s="89">
        <v>0</v>
      </c>
      <c r="R257" s="91">
        <v>0</v>
      </c>
      <c r="S257" s="91">
        <v>0</v>
      </c>
    </row>
    <row r="258" spans="1:19" s="5" customFormat="1" ht="168" customHeight="1">
      <c r="A258" s="70"/>
      <c r="B258" s="13" t="s">
        <v>69</v>
      </c>
      <c r="C258" s="14"/>
      <c r="D258" s="73" t="s">
        <v>496</v>
      </c>
      <c r="E258" s="7" t="s">
        <v>81</v>
      </c>
      <c r="F258" s="7" t="s">
        <v>838</v>
      </c>
      <c r="G258" s="7" t="s">
        <v>82</v>
      </c>
      <c r="H258" s="7" t="s">
        <v>839</v>
      </c>
      <c r="I258" s="7" t="s">
        <v>421</v>
      </c>
      <c r="J258" s="7" t="s">
        <v>840</v>
      </c>
      <c r="K258" s="7" t="s">
        <v>220</v>
      </c>
      <c r="L258" s="7" t="s">
        <v>30</v>
      </c>
      <c r="M258" s="7" t="s">
        <v>158</v>
      </c>
      <c r="N258" s="81">
        <f>960000/1000</f>
        <v>960</v>
      </c>
      <c r="O258" s="81">
        <f>960000/1000</f>
        <v>960</v>
      </c>
      <c r="P258" s="81">
        <v>0</v>
      </c>
      <c r="Q258" s="94">
        <v>0</v>
      </c>
      <c r="R258" s="94">
        <v>0</v>
      </c>
      <c r="S258" s="94">
        <v>0</v>
      </c>
    </row>
    <row r="259" spans="1:19" s="5" customFormat="1" ht="172.5" customHeight="1">
      <c r="A259" s="70"/>
      <c r="B259" s="13" t="s">
        <v>386</v>
      </c>
      <c r="C259" s="14"/>
      <c r="D259" s="73" t="s">
        <v>496</v>
      </c>
      <c r="E259" s="7" t="s">
        <v>81</v>
      </c>
      <c r="F259" s="7" t="s">
        <v>838</v>
      </c>
      <c r="G259" s="7" t="s">
        <v>82</v>
      </c>
      <c r="H259" s="7" t="s">
        <v>841</v>
      </c>
      <c r="I259" s="7" t="s">
        <v>842</v>
      </c>
      <c r="J259" s="7" t="s">
        <v>843</v>
      </c>
      <c r="K259" s="7" t="s">
        <v>387</v>
      </c>
      <c r="L259" s="7" t="s">
        <v>421</v>
      </c>
      <c r="M259" s="7" t="s">
        <v>388</v>
      </c>
      <c r="N259" s="81">
        <f>960000/1000</f>
        <v>960</v>
      </c>
      <c r="O259" s="81">
        <f>960000/1000</f>
        <v>960</v>
      </c>
      <c r="P259" s="81">
        <v>0</v>
      </c>
      <c r="Q259" s="81">
        <v>0</v>
      </c>
      <c r="R259" s="81">
        <v>0</v>
      </c>
      <c r="S259" s="81">
        <v>0</v>
      </c>
    </row>
    <row r="260" spans="1:19" s="5" customFormat="1" ht="98.25" customHeight="1">
      <c r="A260" s="70"/>
      <c r="B260" s="13" t="s">
        <v>221</v>
      </c>
      <c r="C260" s="14"/>
      <c r="D260" s="73"/>
      <c r="E260" s="7" t="s">
        <v>81</v>
      </c>
      <c r="F260" s="7" t="s">
        <v>838</v>
      </c>
      <c r="G260" s="7" t="s">
        <v>82</v>
      </c>
      <c r="H260" s="7" t="s">
        <v>839</v>
      </c>
      <c r="I260" s="7" t="s">
        <v>421</v>
      </c>
      <c r="J260" s="7" t="s">
        <v>840</v>
      </c>
      <c r="K260" s="7" t="s">
        <v>306</v>
      </c>
      <c r="L260" s="7" t="s">
        <v>421</v>
      </c>
      <c r="M260" s="7" t="s">
        <v>311</v>
      </c>
      <c r="N260" s="81">
        <f>199990/1000</f>
        <v>199.99</v>
      </c>
      <c r="O260" s="81">
        <f>199990/1000</f>
        <v>199.99</v>
      </c>
      <c r="P260" s="81">
        <v>0</v>
      </c>
      <c r="Q260" s="81">
        <v>0</v>
      </c>
      <c r="R260" s="81">
        <v>0</v>
      </c>
      <c r="S260" s="81">
        <v>0</v>
      </c>
    </row>
    <row r="261" spans="1:19" s="5" customFormat="1" ht="86.25" customHeight="1">
      <c r="A261" s="70"/>
      <c r="B261" s="13" t="s">
        <v>415</v>
      </c>
      <c r="C261" s="14"/>
      <c r="D261" s="73" t="s">
        <v>496</v>
      </c>
      <c r="E261" s="7" t="s">
        <v>844</v>
      </c>
      <c r="F261" s="7" t="s">
        <v>845</v>
      </c>
      <c r="G261" s="7" t="s">
        <v>846</v>
      </c>
      <c r="H261" s="7"/>
      <c r="I261" s="7"/>
      <c r="J261" s="7"/>
      <c r="K261" s="7" t="s">
        <v>111</v>
      </c>
      <c r="L261" s="7" t="s">
        <v>0</v>
      </c>
      <c r="M261" s="7" t="s">
        <v>205</v>
      </c>
      <c r="N261" s="81">
        <f>290730.77/1000</f>
        <v>290.73077</v>
      </c>
      <c r="O261" s="81">
        <f>290730.77/1000</f>
        <v>290.73077</v>
      </c>
      <c r="P261" s="81">
        <v>0</v>
      </c>
      <c r="Q261" s="81">
        <v>0</v>
      </c>
      <c r="R261" s="81">
        <v>0</v>
      </c>
      <c r="S261" s="81">
        <v>0</v>
      </c>
    </row>
    <row r="262" spans="1:19" s="5" customFormat="1" ht="110.25" customHeight="1" hidden="1" outlineLevel="1">
      <c r="A262" s="70"/>
      <c r="B262" s="13" t="s">
        <v>4</v>
      </c>
      <c r="C262" s="14"/>
      <c r="D262" s="73" t="s">
        <v>496</v>
      </c>
      <c r="E262" s="7"/>
      <c r="F262" s="7"/>
      <c r="G262" s="7"/>
      <c r="H262" s="7"/>
      <c r="I262" s="7"/>
      <c r="J262" s="7"/>
      <c r="K262" s="7" t="s">
        <v>124</v>
      </c>
      <c r="L262" s="7" t="s">
        <v>30</v>
      </c>
      <c r="M262" s="7" t="s">
        <v>250</v>
      </c>
      <c r="N262" s="81">
        <v>0</v>
      </c>
      <c r="O262" s="81"/>
      <c r="P262" s="81">
        <v>0</v>
      </c>
      <c r="Q262" s="87">
        <v>0</v>
      </c>
      <c r="R262" s="117"/>
      <c r="S262" s="117"/>
    </row>
    <row r="263" spans="1:19" s="5" customFormat="1" ht="85.5" customHeight="1" outlineLevel="1">
      <c r="A263" s="70"/>
      <c r="B263" s="13" t="s">
        <v>518</v>
      </c>
      <c r="C263" s="14"/>
      <c r="D263" s="73" t="s">
        <v>496</v>
      </c>
      <c r="E263" s="151" t="s">
        <v>847</v>
      </c>
      <c r="F263" s="151" t="s">
        <v>135</v>
      </c>
      <c r="G263" s="151" t="s">
        <v>848</v>
      </c>
      <c r="H263" s="151" t="s">
        <v>1122</v>
      </c>
      <c r="I263" s="151" t="s">
        <v>1123</v>
      </c>
      <c r="J263" s="151" t="s">
        <v>1124</v>
      </c>
      <c r="K263" s="151" t="s">
        <v>563</v>
      </c>
      <c r="L263" s="151" t="s">
        <v>421</v>
      </c>
      <c r="M263" s="151" t="s">
        <v>564</v>
      </c>
      <c r="N263" s="81">
        <v>0</v>
      </c>
      <c r="O263" s="81">
        <v>0</v>
      </c>
      <c r="P263" s="81">
        <f>138975.69/1000</f>
        <v>138.97569000000001</v>
      </c>
      <c r="Q263" s="81">
        <f>363000/1000</f>
        <v>363</v>
      </c>
      <c r="R263" s="82">
        <f>380000/1000</f>
        <v>380</v>
      </c>
      <c r="S263" s="82">
        <v>400</v>
      </c>
    </row>
    <row r="264" spans="1:19" s="5" customFormat="1" ht="47.25" customHeight="1" outlineLevel="1">
      <c r="A264" s="70"/>
      <c r="B264" s="54" t="s">
        <v>1120</v>
      </c>
      <c r="C264" s="14"/>
      <c r="D264" s="73" t="s">
        <v>496</v>
      </c>
      <c r="E264" s="152"/>
      <c r="F264" s="152"/>
      <c r="G264" s="152"/>
      <c r="H264" s="152"/>
      <c r="I264" s="152"/>
      <c r="J264" s="152"/>
      <c r="K264" s="152"/>
      <c r="L264" s="152"/>
      <c r="M264" s="152"/>
      <c r="N264" s="81"/>
      <c r="O264" s="81"/>
      <c r="P264" s="81">
        <f>177706.62/1000</f>
        <v>177.70662</v>
      </c>
      <c r="Q264" s="81">
        <v>0</v>
      </c>
      <c r="R264" s="82">
        <v>0</v>
      </c>
      <c r="S264" s="82">
        <v>0</v>
      </c>
    </row>
    <row r="265" spans="1:19" s="5" customFormat="1" ht="60.75" customHeight="1" outlineLevel="1">
      <c r="A265" s="70"/>
      <c r="B265" s="54" t="s">
        <v>1121</v>
      </c>
      <c r="C265" s="14"/>
      <c r="D265" s="73" t="s">
        <v>496</v>
      </c>
      <c r="E265" s="153"/>
      <c r="F265" s="153"/>
      <c r="G265" s="153"/>
      <c r="H265" s="153"/>
      <c r="I265" s="153"/>
      <c r="J265" s="153"/>
      <c r="K265" s="153"/>
      <c r="L265" s="153"/>
      <c r="M265" s="153"/>
      <c r="N265" s="81"/>
      <c r="O265" s="81"/>
      <c r="P265" s="81">
        <f>138975.69/1000</f>
        <v>138.97569000000001</v>
      </c>
      <c r="Q265" s="81">
        <v>0</v>
      </c>
      <c r="R265" s="82">
        <v>0</v>
      </c>
      <c r="S265" s="82">
        <v>0</v>
      </c>
    </row>
    <row r="266" spans="1:19" s="5" customFormat="1" ht="123.75" customHeight="1">
      <c r="A266" s="70"/>
      <c r="B266" s="11" t="s">
        <v>595</v>
      </c>
      <c r="C266" s="14"/>
      <c r="D266" s="73" t="s">
        <v>496</v>
      </c>
      <c r="E266" s="7" t="s">
        <v>849</v>
      </c>
      <c r="F266" s="7" t="s">
        <v>558</v>
      </c>
      <c r="G266" s="7" t="s">
        <v>850</v>
      </c>
      <c r="H266" s="7" t="s">
        <v>836</v>
      </c>
      <c r="I266" s="7" t="s">
        <v>135</v>
      </c>
      <c r="J266" s="7" t="s">
        <v>837</v>
      </c>
      <c r="K266" s="7" t="s">
        <v>411</v>
      </c>
      <c r="L266" s="7" t="s">
        <v>30</v>
      </c>
      <c r="M266" s="7" t="s">
        <v>146</v>
      </c>
      <c r="N266" s="81">
        <f>300000/1000</f>
        <v>300</v>
      </c>
      <c r="O266" s="81">
        <f>300000/1000</f>
        <v>300</v>
      </c>
      <c r="P266" s="81">
        <v>0</v>
      </c>
      <c r="Q266" s="81">
        <v>0</v>
      </c>
      <c r="R266" s="81">
        <v>0</v>
      </c>
      <c r="S266" s="81">
        <v>0</v>
      </c>
    </row>
    <row r="267" spans="1:19" s="5" customFormat="1" ht="120" customHeight="1">
      <c r="A267" s="70"/>
      <c r="B267" s="11" t="s">
        <v>114</v>
      </c>
      <c r="C267" s="14"/>
      <c r="D267" s="73" t="s">
        <v>496</v>
      </c>
      <c r="E267" s="7" t="s">
        <v>849</v>
      </c>
      <c r="F267" s="7" t="s">
        <v>558</v>
      </c>
      <c r="G267" s="7" t="s">
        <v>850</v>
      </c>
      <c r="H267" s="7" t="s">
        <v>836</v>
      </c>
      <c r="I267" s="7" t="s">
        <v>135</v>
      </c>
      <c r="J267" s="7" t="s">
        <v>837</v>
      </c>
      <c r="K267" s="7" t="s">
        <v>411</v>
      </c>
      <c r="L267" s="7" t="s">
        <v>30</v>
      </c>
      <c r="M267" s="7" t="s">
        <v>146</v>
      </c>
      <c r="N267" s="81">
        <f>200000/1000</f>
        <v>200</v>
      </c>
      <c r="O267" s="81">
        <f>200000/1000</f>
        <v>200</v>
      </c>
      <c r="P267" s="81">
        <v>0</v>
      </c>
      <c r="Q267" s="81">
        <v>0</v>
      </c>
      <c r="R267" s="81">
        <v>0</v>
      </c>
      <c r="S267" s="81">
        <v>0</v>
      </c>
    </row>
    <row r="268" spans="1:19" s="6" customFormat="1" ht="183" customHeight="1">
      <c r="A268" s="65"/>
      <c r="B268" s="11" t="s">
        <v>584</v>
      </c>
      <c r="C268" s="12"/>
      <c r="D268" s="73" t="s">
        <v>586</v>
      </c>
      <c r="E268" s="7" t="s">
        <v>851</v>
      </c>
      <c r="F268" s="7" t="s">
        <v>852</v>
      </c>
      <c r="G268" s="7" t="s">
        <v>727</v>
      </c>
      <c r="H268" s="7" t="s">
        <v>853</v>
      </c>
      <c r="I268" s="7" t="s">
        <v>421</v>
      </c>
      <c r="J268" s="7" t="s">
        <v>854</v>
      </c>
      <c r="K268" s="7" t="s">
        <v>585</v>
      </c>
      <c r="L268" s="52" t="s">
        <v>135</v>
      </c>
      <c r="M268" s="50" t="s">
        <v>1171</v>
      </c>
      <c r="N268" s="81">
        <f>60000/1000</f>
        <v>60</v>
      </c>
      <c r="O268" s="81">
        <f>60000/1000</f>
        <v>60</v>
      </c>
      <c r="P268" s="81">
        <v>0</v>
      </c>
      <c r="Q268" s="81">
        <v>0</v>
      </c>
      <c r="R268" s="81">
        <v>0</v>
      </c>
      <c r="S268" s="81">
        <v>0</v>
      </c>
    </row>
    <row r="269" spans="1:19" s="6" customFormat="1" ht="168" customHeight="1">
      <c r="A269" s="65"/>
      <c r="B269" s="13" t="s">
        <v>582</v>
      </c>
      <c r="C269" s="12"/>
      <c r="D269" s="73" t="s">
        <v>586</v>
      </c>
      <c r="E269" s="7" t="s">
        <v>851</v>
      </c>
      <c r="F269" s="7" t="s">
        <v>852</v>
      </c>
      <c r="G269" s="7" t="s">
        <v>727</v>
      </c>
      <c r="H269" s="7" t="s">
        <v>855</v>
      </c>
      <c r="I269" s="7" t="s">
        <v>421</v>
      </c>
      <c r="J269" s="7" t="s">
        <v>854</v>
      </c>
      <c r="K269" s="7" t="s">
        <v>583</v>
      </c>
      <c r="L269" s="52" t="s">
        <v>153</v>
      </c>
      <c r="M269" s="50" t="s">
        <v>1171</v>
      </c>
      <c r="N269" s="81">
        <f>4000000/1000</f>
        <v>4000</v>
      </c>
      <c r="O269" s="81">
        <f>4000000/1000</f>
        <v>4000</v>
      </c>
      <c r="P269" s="81">
        <v>0</v>
      </c>
      <c r="Q269" s="81">
        <v>0</v>
      </c>
      <c r="R269" s="81">
        <v>0</v>
      </c>
      <c r="S269" s="81">
        <v>0</v>
      </c>
    </row>
    <row r="270" spans="1:19" s="6" customFormat="1" ht="74.25" customHeight="1">
      <c r="A270" s="65"/>
      <c r="B270" s="54" t="s">
        <v>591</v>
      </c>
      <c r="C270" s="12"/>
      <c r="D270" s="73" t="s">
        <v>332</v>
      </c>
      <c r="E270" s="7"/>
      <c r="F270" s="7"/>
      <c r="G270" s="7"/>
      <c r="H270" s="7"/>
      <c r="I270" s="7"/>
      <c r="J270" s="7"/>
      <c r="K270" s="52" t="s">
        <v>594</v>
      </c>
      <c r="L270" s="52" t="s">
        <v>592</v>
      </c>
      <c r="M270" s="52" t="s">
        <v>593</v>
      </c>
      <c r="N270" s="81">
        <f>20000/1000</f>
        <v>20</v>
      </c>
      <c r="O270" s="81">
        <v>0</v>
      </c>
      <c r="P270" s="81">
        <v>0</v>
      </c>
      <c r="Q270" s="81">
        <v>0</v>
      </c>
      <c r="R270" s="81">
        <v>0</v>
      </c>
      <c r="S270" s="81">
        <v>0</v>
      </c>
    </row>
    <row r="271" spans="1:19" s="6" customFormat="1" ht="85.5" customHeight="1">
      <c r="A271" s="65"/>
      <c r="B271" s="54" t="s">
        <v>626</v>
      </c>
      <c r="C271" s="12"/>
      <c r="D271" s="73" t="s">
        <v>496</v>
      </c>
      <c r="E271" s="7" t="s">
        <v>856</v>
      </c>
      <c r="F271" s="7" t="s">
        <v>845</v>
      </c>
      <c r="G271" s="7" t="s">
        <v>846</v>
      </c>
      <c r="H271" s="7"/>
      <c r="I271" s="7"/>
      <c r="J271" s="7"/>
      <c r="K271" s="52" t="s">
        <v>627</v>
      </c>
      <c r="L271" s="52" t="s">
        <v>628</v>
      </c>
      <c r="M271" s="58" t="s">
        <v>205</v>
      </c>
      <c r="N271" s="81">
        <f>298080/1000</f>
        <v>298.08</v>
      </c>
      <c r="O271" s="81">
        <f>290730.76/1000</f>
        <v>290.73076000000003</v>
      </c>
      <c r="P271" s="81">
        <v>0</v>
      </c>
      <c r="Q271" s="81">
        <v>0</v>
      </c>
      <c r="R271" s="81">
        <v>0</v>
      </c>
      <c r="S271" s="81">
        <v>0</v>
      </c>
    </row>
    <row r="272" spans="1:19" s="6" customFormat="1" ht="63.75" customHeight="1">
      <c r="A272" s="65"/>
      <c r="B272" s="11" t="s">
        <v>108</v>
      </c>
      <c r="C272" s="12"/>
      <c r="D272" s="73" t="s">
        <v>507</v>
      </c>
      <c r="E272" s="7" t="s">
        <v>726</v>
      </c>
      <c r="F272" s="7" t="s">
        <v>117</v>
      </c>
      <c r="G272" s="7" t="s">
        <v>727</v>
      </c>
      <c r="H272" s="7"/>
      <c r="I272" s="7"/>
      <c r="J272" s="7"/>
      <c r="K272" s="60" t="s">
        <v>1200</v>
      </c>
      <c r="L272" s="59" t="s">
        <v>679</v>
      </c>
      <c r="M272" s="59" t="s">
        <v>680</v>
      </c>
      <c r="N272" s="81">
        <f>166989.44/1000</f>
        <v>166.98944</v>
      </c>
      <c r="O272" s="81">
        <f>166989.44/1000</f>
        <v>166.98944</v>
      </c>
      <c r="P272" s="81">
        <f>322000/1000</f>
        <v>322</v>
      </c>
      <c r="Q272" s="81">
        <f>330+253</f>
        <v>583</v>
      </c>
      <c r="R272" s="82">
        <f>349.5+267.9</f>
        <v>617.4</v>
      </c>
      <c r="S272" s="82">
        <f>367.6+281.9</f>
        <v>649.5</v>
      </c>
    </row>
    <row r="273" spans="1:19" s="6" customFormat="1" ht="87" customHeight="1">
      <c r="A273" s="65"/>
      <c r="B273" s="54" t="s">
        <v>596</v>
      </c>
      <c r="C273" s="12"/>
      <c r="D273" s="73" t="s">
        <v>496</v>
      </c>
      <c r="E273" s="7" t="s">
        <v>856</v>
      </c>
      <c r="F273" s="7" t="s">
        <v>845</v>
      </c>
      <c r="G273" s="7" t="s">
        <v>846</v>
      </c>
      <c r="H273" s="7"/>
      <c r="I273" s="7"/>
      <c r="J273" s="7"/>
      <c r="K273" s="52" t="s">
        <v>111</v>
      </c>
      <c r="L273" s="52" t="s">
        <v>597</v>
      </c>
      <c r="M273" s="52" t="s">
        <v>598</v>
      </c>
      <c r="N273" s="81">
        <f>1391040/1000</f>
        <v>1391.04</v>
      </c>
      <c r="O273" s="81">
        <f>1356743.56/1000</f>
        <v>1356.7435600000001</v>
      </c>
      <c r="P273" s="81">
        <v>0</v>
      </c>
      <c r="Q273" s="81">
        <v>0</v>
      </c>
      <c r="R273" s="81">
        <v>0</v>
      </c>
      <c r="S273" s="81">
        <v>0</v>
      </c>
    </row>
    <row r="274" spans="1:19" s="6" customFormat="1" ht="62.25" customHeight="1">
      <c r="A274" s="65"/>
      <c r="B274" s="54" t="s">
        <v>881</v>
      </c>
      <c r="C274" s="12"/>
      <c r="D274" s="73" t="s">
        <v>507</v>
      </c>
      <c r="E274" s="7" t="s">
        <v>81</v>
      </c>
      <c r="F274" s="7" t="s">
        <v>838</v>
      </c>
      <c r="G274" s="7" t="s">
        <v>82</v>
      </c>
      <c r="H274" s="7"/>
      <c r="I274" s="7"/>
      <c r="J274" s="7"/>
      <c r="K274" s="52" t="s">
        <v>892</v>
      </c>
      <c r="L274" s="52" t="s">
        <v>499</v>
      </c>
      <c r="M274" s="7" t="s">
        <v>893</v>
      </c>
      <c r="N274" s="81">
        <v>0</v>
      </c>
      <c r="O274" s="81">
        <v>0</v>
      </c>
      <c r="P274" s="81">
        <f>436000/1000</f>
        <v>436</v>
      </c>
      <c r="Q274" s="81">
        <v>0</v>
      </c>
      <c r="R274" s="81">
        <v>0</v>
      </c>
      <c r="S274" s="81">
        <v>0</v>
      </c>
    </row>
    <row r="275" spans="1:19" s="6" customFormat="1" ht="69.75" customHeight="1">
      <c r="A275" s="65"/>
      <c r="B275" s="54" t="s">
        <v>882</v>
      </c>
      <c r="C275" s="12"/>
      <c r="D275" s="73" t="s">
        <v>496</v>
      </c>
      <c r="E275" s="151" t="s">
        <v>926</v>
      </c>
      <c r="F275" s="151" t="s">
        <v>927</v>
      </c>
      <c r="G275" s="151" t="s">
        <v>928</v>
      </c>
      <c r="H275" s="151" t="s">
        <v>924</v>
      </c>
      <c r="I275" s="151" t="s">
        <v>153</v>
      </c>
      <c r="J275" s="151" t="s">
        <v>925</v>
      </c>
      <c r="K275" s="175" t="s">
        <v>929</v>
      </c>
      <c r="L275" s="175" t="s">
        <v>499</v>
      </c>
      <c r="M275" s="151" t="s">
        <v>930</v>
      </c>
      <c r="N275" s="81">
        <v>0</v>
      </c>
      <c r="O275" s="81">
        <v>0</v>
      </c>
      <c r="P275" s="81">
        <f>1000000/1000</f>
        <v>1000</v>
      </c>
      <c r="Q275" s="81">
        <v>0</v>
      </c>
      <c r="R275" s="81">
        <v>0</v>
      </c>
      <c r="S275" s="81">
        <v>0</v>
      </c>
    </row>
    <row r="276" spans="1:19" s="6" customFormat="1" ht="136.5" customHeight="1">
      <c r="A276" s="65"/>
      <c r="B276" s="54" t="s">
        <v>923</v>
      </c>
      <c r="C276" s="12"/>
      <c r="D276" s="73" t="s">
        <v>496</v>
      </c>
      <c r="E276" s="153"/>
      <c r="F276" s="153"/>
      <c r="G276" s="153"/>
      <c r="H276" s="153"/>
      <c r="I276" s="153"/>
      <c r="J276" s="153"/>
      <c r="K276" s="176"/>
      <c r="L276" s="176"/>
      <c r="M276" s="153"/>
      <c r="N276" s="81">
        <v>0</v>
      </c>
      <c r="O276" s="81">
        <v>0</v>
      </c>
      <c r="P276" s="81">
        <f>1000000/1000</f>
        <v>1000</v>
      </c>
      <c r="Q276" s="81">
        <v>0</v>
      </c>
      <c r="R276" s="81">
        <v>0</v>
      </c>
      <c r="S276" s="81">
        <v>0</v>
      </c>
    </row>
    <row r="277" spans="1:19" s="6" customFormat="1" ht="75" customHeight="1">
      <c r="A277" s="65"/>
      <c r="B277" s="54" t="s">
        <v>883</v>
      </c>
      <c r="C277" s="12"/>
      <c r="D277" s="73" t="s">
        <v>507</v>
      </c>
      <c r="E277" s="7" t="s">
        <v>81</v>
      </c>
      <c r="F277" s="7" t="s">
        <v>838</v>
      </c>
      <c r="G277" s="7" t="s">
        <v>82</v>
      </c>
      <c r="H277" s="7" t="s">
        <v>943</v>
      </c>
      <c r="I277" s="7" t="s">
        <v>135</v>
      </c>
      <c r="J277" s="7" t="s">
        <v>944</v>
      </c>
      <c r="K277" s="51" t="s">
        <v>894</v>
      </c>
      <c r="L277" s="51" t="s">
        <v>341</v>
      </c>
      <c r="M277" s="41" t="s">
        <v>895</v>
      </c>
      <c r="N277" s="81">
        <v>0</v>
      </c>
      <c r="O277" s="81">
        <v>0</v>
      </c>
      <c r="P277" s="81">
        <f>99990/1000</f>
        <v>99.99</v>
      </c>
      <c r="Q277" s="81">
        <v>0</v>
      </c>
      <c r="R277" s="81">
        <v>0</v>
      </c>
      <c r="S277" s="81">
        <v>0</v>
      </c>
    </row>
    <row r="278" spans="1:19" s="6" customFormat="1" ht="75" customHeight="1">
      <c r="A278" s="65"/>
      <c r="B278" s="54" t="s">
        <v>942</v>
      </c>
      <c r="C278" s="12"/>
      <c r="D278" s="73" t="s">
        <v>507</v>
      </c>
      <c r="E278" s="7" t="s">
        <v>81</v>
      </c>
      <c r="F278" s="7" t="s">
        <v>838</v>
      </c>
      <c r="G278" s="7" t="s">
        <v>82</v>
      </c>
      <c r="H278" s="7" t="s">
        <v>945</v>
      </c>
      <c r="I278" s="7" t="s">
        <v>135</v>
      </c>
      <c r="J278" s="7" t="s">
        <v>946</v>
      </c>
      <c r="K278" s="51" t="s">
        <v>947</v>
      </c>
      <c r="L278" s="51" t="s">
        <v>713</v>
      </c>
      <c r="M278" s="41" t="s">
        <v>948</v>
      </c>
      <c r="N278" s="81">
        <v>0</v>
      </c>
      <c r="O278" s="81">
        <v>0</v>
      </c>
      <c r="P278" s="81">
        <f>99000/1000</f>
        <v>99</v>
      </c>
      <c r="Q278" s="81">
        <v>0</v>
      </c>
      <c r="R278" s="81">
        <v>0</v>
      </c>
      <c r="S278" s="81">
        <v>0</v>
      </c>
    </row>
    <row r="279" spans="1:19" s="6" customFormat="1" ht="90" customHeight="1">
      <c r="A279" s="65"/>
      <c r="B279" s="54" t="s">
        <v>917</v>
      </c>
      <c r="C279" s="12"/>
      <c r="D279" s="166" t="s">
        <v>507</v>
      </c>
      <c r="E279" s="151" t="s">
        <v>851</v>
      </c>
      <c r="F279" s="151" t="s">
        <v>852</v>
      </c>
      <c r="G279" s="151" t="s">
        <v>727</v>
      </c>
      <c r="H279" s="7" t="s">
        <v>920</v>
      </c>
      <c r="I279" s="7" t="s">
        <v>421</v>
      </c>
      <c r="J279" s="7" t="s">
        <v>891</v>
      </c>
      <c r="K279" s="175" t="s">
        <v>918</v>
      </c>
      <c r="L279" s="175" t="s">
        <v>153</v>
      </c>
      <c r="M279" s="175" t="s">
        <v>919</v>
      </c>
      <c r="N279" s="81">
        <v>0</v>
      </c>
      <c r="O279" s="81">
        <v>0</v>
      </c>
      <c r="P279" s="81">
        <f>95374.8/1000</f>
        <v>95.37480000000001</v>
      </c>
      <c r="Q279" s="81">
        <v>0</v>
      </c>
      <c r="R279" s="81">
        <v>0</v>
      </c>
      <c r="S279" s="81">
        <v>0</v>
      </c>
    </row>
    <row r="280" spans="1:19" s="6" customFormat="1" ht="87.75" customHeight="1">
      <c r="A280" s="65"/>
      <c r="B280" s="54" t="s">
        <v>884</v>
      </c>
      <c r="C280" s="12"/>
      <c r="D280" s="167"/>
      <c r="E280" s="152"/>
      <c r="F280" s="152"/>
      <c r="G280" s="152"/>
      <c r="H280" s="7" t="s">
        <v>921</v>
      </c>
      <c r="I280" s="7" t="s">
        <v>421</v>
      </c>
      <c r="J280" s="7" t="s">
        <v>922</v>
      </c>
      <c r="K280" s="212"/>
      <c r="L280" s="212"/>
      <c r="M280" s="212"/>
      <c r="N280" s="81">
        <v>0</v>
      </c>
      <c r="O280" s="81">
        <v>0</v>
      </c>
      <c r="P280" s="81">
        <f>97991.12/1000</f>
        <v>97.99112</v>
      </c>
      <c r="Q280" s="81">
        <v>0</v>
      </c>
      <c r="R280" s="81">
        <v>0</v>
      </c>
      <c r="S280" s="81">
        <v>0</v>
      </c>
    </row>
    <row r="281" spans="1:19" s="6" customFormat="1" ht="87.75" customHeight="1">
      <c r="A281" s="65"/>
      <c r="B281" s="54" t="s">
        <v>974</v>
      </c>
      <c r="C281" s="12"/>
      <c r="D281" s="168"/>
      <c r="E281" s="152"/>
      <c r="F281" s="152"/>
      <c r="G281" s="152"/>
      <c r="H281" s="7" t="s">
        <v>977</v>
      </c>
      <c r="I281" s="7" t="s">
        <v>978</v>
      </c>
      <c r="J281" s="7" t="s">
        <v>979</v>
      </c>
      <c r="K281" s="176"/>
      <c r="L281" s="176"/>
      <c r="M281" s="176"/>
      <c r="N281" s="81">
        <v>0</v>
      </c>
      <c r="O281" s="81">
        <v>0</v>
      </c>
      <c r="P281" s="81">
        <f>3000000/1000</f>
        <v>3000</v>
      </c>
      <c r="Q281" s="81">
        <v>0</v>
      </c>
      <c r="R281" s="81">
        <v>0</v>
      </c>
      <c r="S281" s="81">
        <v>0</v>
      </c>
    </row>
    <row r="282" spans="1:19" s="6" customFormat="1" ht="87.75" customHeight="1">
      <c r="A282" s="65"/>
      <c r="B282" s="54" t="s">
        <v>975</v>
      </c>
      <c r="C282" s="12"/>
      <c r="D282" s="113" t="s">
        <v>507</v>
      </c>
      <c r="E282" s="153"/>
      <c r="F282" s="153"/>
      <c r="G282" s="153"/>
      <c r="H282" s="7" t="s">
        <v>980</v>
      </c>
      <c r="I282" s="7" t="s">
        <v>1119</v>
      </c>
      <c r="J282" s="7" t="s">
        <v>997</v>
      </c>
      <c r="K282" s="51" t="s">
        <v>1117</v>
      </c>
      <c r="L282" s="51" t="s">
        <v>135</v>
      </c>
      <c r="M282" s="51" t="s">
        <v>1118</v>
      </c>
      <c r="N282" s="81">
        <v>0</v>
      </c>
      <c r="O282" s="81">
        <v>0</v>
      </c>
      <c r="P282" s="81">
        <f>3000000/1000</f>
        <v>3000</v>
      </c>
      <c r="Q282" s="81">
        <v>0</v>
      </c>
      <c r="R282" s="81">
        <v>0</v>
      </c>
      <c r="S282" s="81">
        <v>0</v>
      </c>
    </row>
    <row r="283" spans="1:19" s="6" customFormat="1" ht="98.25" customHeight="1">
      <c r="A283" s="65"/>
      <c r="B283" s="54" t="s">
        <v>976</v>
      </c>
      <c r="C283" s="12"/>
      <c r="D283" s="113" t="s">
        <v>507</v>
      </c>
      <c r="E283" s="114" t="s">
        <v>851</v>
      </c>
      <c r="F283" s="115" t="s">
        <v>117</v>
      </c>
      <c r="G283" s="114" t="s">
        <v>727</v>
      </c>
      <c r="H283" s="7" t="s">
        <v>986</v>
      </c>
      <c r="I283" s="7" t="s">
        <v>987</v>
      </c>
      <c r="J283" s="7" t="s">
        <v>988</v>
      </c>
      <c r="K283" s="51" t="s">
        <v>1116</v>
      </c>
      <c r="L283" s="51" t="s">
        <v>153</v>
      </c>
      <c r="M283" s="51" t="s">
        <v>1056</v>
      </c>
      <c r="N283" s="81">
        <v>0</v>
      </c>
      <c r="O283" s="81">
        <v>0</v>
      </c>
      <c r="P283" s="81">
        <f>40040/1000</f>
        <v>40.04</v>
      </c>
      <c r="Q283" s="81">
        <v>0</v>
      </c>
      <c r="R283" s="81">
        <v>0</v>
      </c>
      <c r="S283" s="81">
        <v>0</v>
      </c>
    </row>
    <row r="284" spans="1:19" s="2" customFormat="1" ht="24">
      <c r="A284" s="65"/>
      <c r="B284" s="33" t="s">
        <v>368</v>
      </c>
      <c r="C284" s="18"/>
      <c r="D284" s="79"/>
      <c r="E284" s="7"/>
      <c r="F284" s="7"/>
      <c r="G284" s="7"/>
      <c r="H284" s="7"/>
      <c r="I284" s="7"/>
      <c r="J284" s="7"/>
      <c r="K284" s="7"/>
      <c r="L284" s="7"/>
      <c r="M284" s="7"/>
      <c r="N284" s="80">
        <f>N6+N203+N249</f>
        <v>719279.9937900001</v>
      </c>
      <c r="O284" s="80">
        <f>O6+O203+O249</f>
        <v>711120.2361399999</v>
      </c>
      <c r="P284" s="80">
        <f>P6+P203+P249</f>
        <v>853248.42261</v>
      </c>
      <c r="Q284" s="80">
        <f>Q6+Q203+Q249</f>
        <v>778887.9</v>
      </c>
      <c r="R284" s="80">
        <f>R7+R23+R27+R28+R30+R31+R35+R38+R44+R48+R54+R70+R124+R158+R163+R165+R169+R173+R177+R183+R188+R192+R203+R249</f>
        <v>803300.2999999999</v>
      </c>
      <c r="S284" s="80">
        <f>S7+S23+S27+S28+S30+S31+S35+S38+S44+S48+S54+S70+S124+S158+S163+S165+S169+S173+S177+S183+S188+S192+S203+S249</f>
        <v>828718.4999999999</v>
      </c>
    </row>
    <row r="285" spans="1:19" s="2" customFormat="1" ht="24">
      <c r="A285" s="65"/>
      <c r="B285" s="33" t="s">
        <v>368</v>
      </c>
      <c r="C285" s="18"/>
      <c r="D285" s="79"/>
      <c r="E285" s="7"/>
      <c r="F285" s="7"/>
      <c r="G285" s="7"/>
      <c r="H285" s="7"/>
      <c r="I285" s="7"/>
      <c r="J285" s="7"/>
      <c r="K285" s="7"/>
      <c r="L285" s="7"/>
      <c r="M285" s="7"/>
      <c r="N285" s="80">
        <f>N284</f>
        <v>719279.9937900001</v>
      </c>
      <c r="O285" s="80">
        <f>O284</f>
        <v>711120.2361399999</v>
      </c>
      <c r="P285" s="80">
        <f>P284</f>
        <v>853248.42261</v>
      </c>
      <c r="Q285" s="80">
        <f>Q284</f>
        <v>778887.9</v>
      </c>
      <c r="R285" s="80">
        <f>R284</f>
        <v>803300.2999999999</v>
      </c>
      <c r="S285" s="80">
        <f>S284</f>
        <v>828718.4999999999</v>
      </c>
    </row>
    <row r="286" spans="1:19" s="2" customFormat="1" ht="12.75">
      <c r="A286" s="65"/>
      <c r="B286" s="33"/>
      <c r="C286" s="18"/>
      <c r="D286" s="71"/>
      <c r="E286" s="27"/>
      <c r="F286" s="27"/>
      <c r="G286" s="27"/>
      <c r="H286" s="28"/>
      <c r="I286" s="27"/>
      <c r="J286" s="27"/>
      <c r="K286" s="28"/>
      <c r="L286" s="27"/>
      <c r="M286" s="7"/>
      <c r="N286" s="80"/>
      <c r="O286" s="80"/>
      <c r="P286" s="80"/>
      <c r="Q286" s="93"/>
      <c r="R286" s="117"/>
      <c r="S286" s="117"/>
    </row>
    <row r="287" spans="1:19" s="2" customFormat="1" ht="8.25" customHeight="1">
      <c r="A287" s="196"/>
      <c r="B287" s="196"/>
      <c r="C287" s="196"/>
      <c r="D287" s="196"/>
      <c r="E287" s="196"/>
      <c r="F287" s="196"/>
      <c r="G287" s="15"/>
      <c r="H287" s="36"/>
      <c r="I287" s="15"/>
      <c r="J287" s="15"/>
      <c r="K287" s="36"/>
      <c r="L287" s="15"/>
      <c r="M287" s="22"/>
      <c r="N287" s="82"/>
      <c r="O287" s="82"/>
      <c r="P287" s="82"/>
      <c r="Q287" s="120"/>
      <c r="R287" s="117"/>
      <c r="S287" s="117"/>
    </row>
    <row r="288" spans="1:19" s="2" customFormat="1" ht="15.75" customHeight="1">
      <c r="A288" s="15" t="s">
        <v>168</v>
      </c>
      <c r="B288" s="15"/>
      <c r="C288" s="15"/>
      <c r="D288" s="15"/>
      <c r="E288" s="15"/>
      <c r="F288" s="15"/>
      <c r="G288" s="15"/>
      <c r="H288" s="36"/>
      <c r="I288" s="15"/>
      <c r="J288" s="15"/>
      <c r="K288" s="36"/>
      <c r="L288" s="15"/>
      <c r="M288" s="22"/>
      <c r="N288" s="94">
        <f>'ИМБТ посел 2011'!D179</f>
        <v>103339.11184</v>
      </c>
      <c r="O288" s="94">
        <f>'ИМБТ посел 2011'!E179</f>
        <v>99975.77597</v>
      </c>
      <c r="P288" s="94">
        <f>'ИМБТ посел 2011'!F179</f>
        <v>187766.43386999998</v>
      </c>
      <c r="Q288" s="94">
        <f>'ИМБТ посел 2011'!G179</f>
        <v>142519.9</v>
      </c>
      <c r="R288" s="94">
        <f>'ИМБТ посел 2011'!H179</f>
        <v>100001.20000000001</v>
      </c>
      <c r="S288" s="94">
        <f>'ИМБТ посел 2011'!I179</f>
        <v>101849.5</v>
      </c>
    </row>
    <row r="289" spans="1:19" s="2" customFormat="1" ht="12.75" hidden="1">
      <c r="A289" s="15" t="s">
        <v>199</v>
      </c>
      <c r="B289" s="15"/>
      <c r="C289" s="15"/>
      <c r="D289" s="15"/>
      <c r="E289" s="15"/>
      <c r="F289" s="15"/>
      <c r="G289" s="15"/>
      <c r="H289" s="36"/>
      <c r="I289" s="15"/>
      <c r="J289" s="15"/>
      <c r="K289" s="36"/>
      <c r="L289" s="15"/>
      <c r="M289" s="22"/>
      <c r="N289" s="82">
        <f>N284+N288</f>
        <v>822619.1056300001</v>
      </c>
      <c r="O289" s="82"/>
      <c r="P289" s="82">
        <f>P284+P288</f>
        <v>1041014.85648</v>
      </c>
      <c r="Q289" s="121"/>
      <c r="R289" s="122"/>
      <c r="S289" s="122"/>
    </row>
    <row r="290" spans="1:19" s="2" customFormat="1" ht="15.75" customHeight="1">
      <c r="A290" s="15" t="s">
        <v>199</v>
      </c>
      <c r="B290" s="15"/>
      <c r="C290" s="15"/>
      <c r="D290" s="15"/>
      <c r="E290" s="15"/>
      <c r="F290" s="15"/>
      <c r="G290" s="15"/>
      <c r="H290" s="36"/>
      <c r="I290" s="15"/>
      <c r="J290" s="15"/>
      <c r="K290" s="36"/>
      <c r="L290" s="15"/>
      <c r="M290" s="22"/>
      <c r="N290" s="82">
        <f>N284+N288</f>
        <v>822619.1056300001</v>
      </c>
      <c r="O290" s="82">
        <f>O284+O288</f>
        <v>811096.0121099999</v>
      </c>
      <c r="P290" s="82">
        <f>P284+P288</f>
        <v>1041014.85648</v>
      </c>
      <c r="Q290" s="82">
        <f>Q284+Q288</f>
        <v>921407.8</v>
      </c>
      <c r="R290" s="82">
        <f>R284+R288</f>
        <v>903301.5</v>
      </c>
      <c r="S290" s="82">
        <f>S284+S288</f>
        <v>930567.9999999999</v>
      </c>
    </row>
    <row r="291" spans="1:18" s="2" customFormat="1" ht="13.5" customHeight="1" hidden="1">
      <c r="A291" s="24"/>
      <c r="B291" s="24"/>
      <c r="C291" s="24"/>
      <c r="D291" s="24"/>
      <c r="E291" s="24"/>
      <c r="F291" s="24"/>
      <c r="G291" s="24"/>
      <c r="H291" s="25"/>
      <c r="I291" s="24"/>
      <c r="J291" s="24"/>
      <c r="K291" s="25"/>
      <c r="L291" s="24"/>
      <c r="M291" s="26"/>
      <c r="N291" s="24"/>
      <c r="O291" s="24"/>
      <c r="P291" s="24"/>
      <c r="Q291" s="24"/>
      <c r="R291" s="8"/>
    </row>
  </sheetData>
  <sheetProtection/>
  <autoFilter ref="A4:R285"/>
  <mergeCells count="432">
    <mergeCell ref="S207:S212"/>
    <mergeCell ref="S240:S241"/>
    <mergeCell ref="S62:S63"/>
    <mergeCell ref="S71:S72"/>
    <mergeCell ref="S75:S76"/>
    <mergeCell ref="S126:S131"/>
    <mergeCell ref="S144:S145"/>
    <mergeCell ref="S160:S161"/>
    <mergeCell ref="Q2:S2"/>
    <mergeCell ref="S9:S11"/>
    <mergeCell ref="S21:S22"/>
    <mergeCell ref="S45:S46"/>
    <mergeCell ref="S50:S51"/>
    <mergeCell ref="S60:S61"/>
    <mergeCell ref="Q207:Q212"/>
    <mergeCell ref="R207:R212"/>
    <mergeCell ref="Q240:Q241"/>
    <mergeCell ref="R240:R241"/>
    <mergeCell ref="R144:R145"/>
    <mergeCell ref="A144:A145"/>
    <mergeCell ref="B144:B145"/>
    <mergeCell ref="N144:N145"/>
    <mergeCell ref="P144:P145"/>
    <mergeCell ref="P160:P161"/>
    <mergeCell ref="D279:D281"/>
    <mergeCell ref="K279:K281"/>
    <mergeCell ref="L279:L281"/>
    <mergeCell ref="M279:M281"/>
    <mergeCell ref="E279:E282"/>
    <mergeCell ref="E144:E145"/>
    <mergeCell ref="D144:D145"/>
    <mergeCell ref="K255:K257"/>
    <mergeCell ref="L255:L257"/>
    <mergeCell ref="M255:M257"/>
    <mergeCell ref="J109:J110"/>
    <mergeCell ref="Q144:Q145"/>
    <mergeCell ref="H144:H145"/>
    <mergeCell ref="I144:I145"/>
    <mergeCell ref="J144:J145"/>
    <mergeCell ref="Q126:Q131"/>
    <mergeCell ref="K126:K134"/>
    <mergeCell ref="M109:M110"/>
    <mergeCell ref="F255:F257"/>
    <mergeCell ref="G255:G257"/>
    <mergeCell ref="H275:H276"/>
    <mergeCell ref="I275:I276"/>
    <mergeCell ref="J275:J276"/>
    <mergeCell ref="F263:F265"/>
    <mergeCell ref="G263:G265"/>
    <mergeCell ref="A255:A257"/>
    <mergeCell ref="B255:B257"/>
    <mergeCell ref="D255:D257"/>
    <mergeCell ref="E255:E257"/>
    <mergeCell ref="F279:F282"/>
    <mergeCell ref="G279:G282"/>
    <mergeCell ref="E275:E276"/>
    <mergeCell ref="F275:F276"/>
    <mergeCell ref="G275:G276"/>
    <mergeCell ref="E263:E265"/>
    <mergeCell ref="H245:H246"/>
    <mergeCell ref="I245:I246"/>
    <mergeCell ref="J245:J246"/>
    <mergeCell ref="H160:H161"/>
    <mergeCell ref="I160:I161"/>
    <mergeCell ref="J160:J161"/>
    <mergeCell ref="H222:H224"/>
    <mergeCell ref="I222:I224"/>
    <mergeCell ref="H174:H175"/>
    <mergeCell ref="I174:I175"/>
    <mergeCell ref="H66:H67"/>
    <mergeCell ref="J222:J224"/>
    <mergeCell ref="E240:E241"/>
    <mergeCell ref="F240:F241"/>
    <mergeCell ref="G240:G241"/>
    <mergeCell ref="H240:H241"/>
    <mergeCell ref="I240:I241"/>
    <mergeCell ref="J240:J241"/>
    <mergeCell ref="E109:E110"/>
    <mergeCell ref="F109:F110"/>
    <mergeCell ref="H75:H76"/>
    <mergeCell ref="I75:I76"/>
    <mergeCell ref="J75:J76"/>
    <mergeCell ref="I73:I74"/>
    <mergeCell ref="J71:J72"/>
    <mergeCell ref="I71:I72"/>
    <mergeCell ref="E79:E80"/>
    <mergeCell ref="F79:F80"/>
    <mergeCell ref="G79:G80"/>
    <mergeCell ref="H78:H80"/>
    <mergeCell ref="I78:I80"/>
    <mergeCell ref="J78:J80"/>
    <mergeCell ref="J60:J61"/>
    <mergeCell ref="G62:G63"/>
    <mergeCell ref="F60:F61"/>
    <mergeCell ref="G60:G61"/>
    <mergeCell ref="H60:H61"/>
    <mergeCell ref="I60:I61"/>
    <mergeCell ref="H62:H63"/>
    <mergeCell ref="I62:I63"/>
    <mergeCell ref="Q160:Q161"/>
    <mergeCell ref="R160:R161"/>
    <mergeCell ref="Q60:Q61"/>
    <mergeCell ref="R60:R61"/>
    <mergeCell ref="N75:N76"/>
    <mergeCell ref="O75:O76"/>
    <mergeCell ref="N160:N161"/>
    <mergeCell ref="O160:O161"/>
    <mergeCell ref="O144:O145"/>
    <mergeCell ref="Q75:Q76"/>
    <mergeCell ref="A45:A46"/>
    <mergeCell ref="D45:D46"/>
    <mergeCell ref="N45:N46"/>
    <mergeCell ref="O45:O46"/>
    <mergeCell ref="P45:P46"/>
    <mergeCell ref="H45:H46"/>
    <mergeCell ref="I45:I46"/>
    <mergeCell ref="J45:J46"/>
    <mergeCell ref="E45:E46"/>
    <mergeCell ref="F45:F46"/>
    <mergeCell ref="R75:R76"/>
    <mergeCell ref="A60:A61"/>
    <mergeCell ref="B60:B61"/>
    <mergeCell ref="D60:D61"/>
    <mergeCell ref="P60:P61"/>
    <mergeCell ref="B75:B76"/>
    <mergeCell ref="A75:A76"/>
    <mergeCell ref="D75:D76"/>
    <mergeCell ref="P75:P76"/>
    <mergeCell ref="B66:B67"/>
    <mergeCell ref="A152:A153"/>
    <mergeCell ref="A126:A141"/>
    <mergeCell ref="B126:B141"/>
    <mergeCell ref="D128:D129"/>
    <mergeCell ref="B174:B175"/>
    <mergeCell ref="D132:D137"/>
    <mergeCell ref="D130:D131"/>
    <mergeCell ref="B160:B161"/>
    <mergeCell ref="A160:A161"/>
    <mergeCell ref="D160:D161"/>
    <mergeCell ref="A245:A246"/>
    <mergeCell ref="D138:D140"/>
    <mergeCell ref="K186:K187"/>
    <mergeCell ref="G222:G224"/>
    <mergeCell ref="D219:D220"/>
    <mergeCell ref="B193:B194"/>
    <mergeCell ref="E160:E161"/>
    <mergeCell ref="F160:F161"/>
    <mergeCell ref="G160:G161"/>
    <mergeCell ref="A193:A194"/>
    <mergeCell ref="A1:R1"/>
    <mergeCell ref="R21:R22"/>
    <mergeCell ref="A222:A224"/>
    <mergeCell ref="B39:B40"/>
    <mergeCell ref="L207:L212"/>
    <mergeCell ref="M207:M212"/>
    <mergeCell ref="L186:L187"/>
    <mergeCell ref="M154:M155"/>
    <mergeCell ref="L193:L194"/>
    <mergeCell ref="A195:A196"/>
    <mergeCell ref="A240:A241"/>
    <mergeCell ref="A154:A155"/>
    <mergeCell ref="L240:L241"/>
    <mergeCell ref="M240:M241"/>
    <mergeCell ref="B222:B224"/>
    <mergeCell ref="M174:M175"/>
    <mergeCell ref="A207:A212"/>
    <mergeCell ref="C222:C224"/>
    <mergeCell ref="B240:B241"/>
    <mergeCell ref="A186:A187"/>
    <mergeCell ref="K78:K80"/>
    <mergeCell ref="M9:M11"/>
    <mergeCell ref="P21:P22"/>
    <mergeCell ref="P62:P63"/>
    <mergeCell ref="M73:M74"/>
    <mergeCell ref="O21:O22"/>
    <mergeCell ref="L21:L22"/>
    <mergeCell ref="K21:K22"/>
    <mergeCell ref="O62:O63"/>
    <mergeCell ref="K73:K74"/>
    <mergeCell ref="I9:I10"/>
    <mergeCell ref="E2:G2"/>
    <mergeCell ref="H2:J2"/>
    <mergeCell ref="K2:M2"/>
    <mergeCell ref="M21:M22"/>
    <mergeCell ref="E9:E10"/>
    <mergeCell ref="F9:F10"/>
    <mergeCell ref="G9:G10"/>
    <mergeCell ref="H9:H10"/>
    <mergeCell ref="E13:E14"/>
    <mergeCell ref="M195:M196"/>
    <mergeCell ref="H21:H22"/>
    <mergeCell ref="J21:J22"/>
    <mergeCell ref="Q21:Q22"/>
    <mergeCell ref="N21:N22"/>
    <mergeCell ref="K13:K14"/>
    <mergeCell ref="P2:P3"/>
    <mergeCell ref="N2:O2"/>
    <mergeCell ref="Q9:Q11"/>
    <mergeCell ref="K152:K153"/>
    <mergeCell ref="K174:K175"/>
    <mergeCell ref="M186:M187"/>
    <mergeCell ref="L152:L153"/>
    <mergeCell ref="K193:K194"/>
    <mergeCell ref="M193:M194"/>
    <mergeCell ref="M152:M153"/>
    <mergeCell ref="K154:K155"/>
    <mergeCell ref="D186:D187"/>
    <mergeCell ref="B78:B80"/>
    <mergeCell ref="B152:B153"/>
    <mergeCell ref="B154:B155"/>
    <mergeCell ref="B195:B196"/>
    <mergeCell ref="L174:L175"/>
    <mergeCell ref="L154:L155"/>
    <mergeCell ref="F98:F99"/>
    <mergeCell ref="G98:G99"/>
    <mergeCell ref="H98:H99"/>
    <mergeCell ref="B219:B220"/>
    <mergeCell ref="B207:B212"/>
    <mergeCell ref="D207:D212"/>
    <mergeCell ref="K240:K241"/>
    <mergeCell ref="L222:L224"/>
    <mergeCell ref="K195:K196"/>
    <mergeCell ref="L219:L220"/>
    <mergeCell ref="E195:E196"/>
    <mergeCell ref="F195:F196"/>
    <mergeCell ref="G195:G196"/>
    <mergeCell ref="D245:D246"/>
    <mergeCell ref="M222:M224"/>
    <mergeCell ref="E245:E246"/>
    <mergeCell ref="F245:F246"/>
    <mergeCell ref="L245:L246"/>
    <mergeCell ref="H255:H257"/>
    <mergeCell ref="I255:I257"/>
    <mergeCell ref="J255:J257"/>
    <mergeCell ref="F222:F224"/>
    <mergeCell ref="A287:F287"/>
    <mergeCell ref="B186:B187"/>
    <mergeCell ref="G245:G246"/>
    <mergeCell ref="E222:E224"/>
    <mergeCell ref="K207:K212"/>
    <mergeCell ref="B245:B246"/>
    <mergeCell ref="A78:A80"/>
    <mergeCell ref="D21:D22"/>
    <mergeCell ref="C21:C22"/>
    <mergeCell ref="B71:B72"/>
    <mergeCell ref="A62:A63"/>
    <mergeCell ref="B62:B63"/>
    <mergeCell ref="A21:A22"/>
    <mergeCell ref="B21:B22"/>
    <mergeCell ref="C71:C72"/>
    <mergeCell ref="C73:C74"/>
    <mergeCell ref="A2:B3"/>
    <mergeCell ref="D2:D3"/>
    <mergeCell ref="N71:N72"/>
    <mergeCell ref="O71:O72"/>
    <mergeCell ref="P71:P72"/>
    <mergeCell ref="M13:M14"/>
    <mergeCell ref="B9:B11"/>
    <mergeCell ref="K9:K11"/>
    <mergeCell ref="L9:L11"/>
    <mergeCell ref="A9:A11"/>
    <mergeCell ref="R126:R131"/>
    <mergeCell ref="Q71:Q72"/>
    <mergeCell ref="R71:R72"/>
    <mergeCell ref="H73:H74"/>
    <mergeCell ref="K98:K99"/>
    <mergeCell ref="L98:L99"/>
    <mergeCell ref="M98:M99"/>
    <mergeCell ref="L78:L80"/>
    <mergeCell ref="M78:M80"/>
    <mergeCell ref="H71:H72"/>
    <mergeCell ref="R9:R11"/>
    <mergeCell ref="L13:L14"/>
    <mergeCell ref="L73:L74"/>
    <mergeCell ref="I21:I22"/>
    <mergeCell ref="J73:J74"/>
    <mergeCell ref="J9:J10"/>
    <mergeCell ref="J62:J63"/>
    <mergeCell ref="I66:I67"/>
    <mergeCell ref="J66:J67"/>
    <mergeCell ref="M66:M67"/>
    <mergeCell ref="D62:D63"/>
    <mergeCell ref="G73:G74"/>
    <mergeCell ref="D71:D72"/>
    <mergeCell ref="F73:F74"/>
    <mergeCell ref="B45:B46"/>
    <mergeCell ref="G45:G46"/>
    <mergeCell ref="F62:F63"/>
    <mergeCell ref="G66:G67"/>
    <mergeCell ref="E60:E61"/>
    <mergeCell ref="E66:E67"/>
    <mergeCell ref="F66:F67"/>
    <mergeCell ref="Q45:Q46"/>
    <mergeCell ref="R45:R46"/>
    <mergeCell ref="N60:N61"/>
    <mergeCell ref="O60:O61"/>
    <mergeCell ref="N62:N63"/>
    <mergeCell ref="K66:K67"/>
    <mergeCell ref="L66:L67"/>
    <mergeCell ref="O50:O51"/>
    <mergeCell ref="Q50:Q51"/>
    <mergeCell ref="C62:C63"/>
    <mergeCell ref="E62:E63"/>
    <mergeCell ref="B98:B99"/>
    <mergeCell ref="A98:A99"/>
    <mergeCell ref="D98:D99"/>
    <mergeCell ref="E73:E74"/>
    <mergeCell ref="B73:B74"/>
    <mergeCell ref="A73:A74"/>
    <mergeCell ref="A71:A72"/>
    <mergeCell ref="A66:A67"/>
    <mergeCell ref="E39:E40"/>
    <mergeCell ref="A214:A220"/>
    <mergeCell ref="K214:K220"/>
    <mergeCell ref="M214:M220"/>
    <mergeCell ref="Q62:Q63"/>
    <mergeCell ref="R62:R63"/>
    <mergeCell ref="L126:L134"/>
    <mergeCell ref="F126:F135"/>
    <mergeCell ref="I98:I99"/>
    <mergeCell ref="J98:J99"/>
    <mergeCell ref="F13:F14"/>
    <mergeCell ref="G13:G14"/>
    <mergeCell ref="H13:H14"/>
    <mergeCell ref="I13:I14"/>
    <mergeCell ref="J13:J14"/>
    <mergeCell ref="F39:F40"/>
    <mergeCell ref="G39:G40"/>
    <mergeCell ref="H39:H40"/>
    <mergeCell ref="I39:I40"/>
    <mergeCell ref="J39:J40"/>
    <mergeCell ref="E98:E99"/>
    <mergeCell ref="M126:M134"/>
    <mergeCell ref="K135:K140"/>
    <mergeCell ref="L135:L140"/>
    <mergeCell ref="M135:M140"/>
    <mergeCell ref="E136:E141"/>
    <mergeCell ref="E126:E135"/>
    <mergeCell ref="G109:G110"/>
    <mergeCell ref="K109:K110"/>
    <mergeCell ref="L109:L110"/>
    <mergeCell ref="G144:G145"/>
    <mergeCell ref="E152:E153"/>
    <mergeCell ref="F152:F153"/>
    <mergeCell ref="G152:G153"/>
    <mergeCell ref="E154:E155"/>
    <mergeCell ref="F154:F155"/>
    <mergeCell ref="G154:G155"/>
    <mergeCell ref="J174:J175"/>
    <mergeCell ref="E186:E187"/>
    <mergeCell ref="F186:F187"/>
    <mergeCell ref="G186:G187"/>
    <mergeCell ref="H186:H187"/>
    <mergeCell ref="I186:I187"/>
    <mergeCell ref="J186:J187"/>
    <mergeCell ref="E174:E175"/>
    <mergeCell ref="F174:F175"/>
    <mergeCell ref="G174:G175"/>
    <mergeCell ref="E193:E194"/>
    <mergeCell ref="F193:F194"/>
    <mergeCell ref="G193:G194"/>
    <mergeCell ref="H193:H194"/>
    <mergeCell ref="I193:I194"/>
    <mergeCell ref="J193:J194"/>
    <mergeCell ref="I195:I196"/>
    <mergeCell ref="J195:J196"/>
    <mergeCell ref="E207:E212"/>
    <mergeCell ref="F207:F212"/>
    <mergeCell ref="G207:G212"/>
    <mergeCell ref="H207:H212"/>
    <mergeCell ref="I207:I212"/>
    <mergeCell ref="J207:J212"/>
    <mergeCell ref="E214:E220"/>
    <mergeCell ref="F214:F220"/>
    <mergeCell ref="G214:G220"/>
    <mergeCell ref="H214:H220"/>
    <mergeCell ref="I214:I220"/>
    <mergeCell ref="J214:J220"/>
    <mergeCell ref="A50:A51"/>
    <mergeCell ref="B50:B51"/>
    <mergeCell ref="D50:D51"/>
    <mergeCell ref="E50:E51"/>
    <mergeCell ref="F50:F51"/>
    <mergeCell ref="G50:G51"/>
    <mergeCell ref="R50:R51"/>
    <mergeCell ref="H50:H51"/>
    <mergeCell ref="I50:I51"/>
    <mergeCell ref="J50:J51"/>
    <mergeCell ref="N50:N51"/>
    <mergeCell ref="P50:P51"/>
    <mergeCell ref="K275:K276"/>
    <mergeCell ref="L275:L276"/>
    <mergeCell ref="M275:M276"/>
    <mergeCell ref="K245:K246"/>
    <mergeCell ref="K222:K224"/>
    <mergeCell ref="M245:M246"/>
    <mergeCell ref="L195:L196"/>
    <mergeCell ref="A148:A150"/>
    <mergeCell ref="E148:E150"/>
    <mergeCell ref="F148:F150"/>
    <mergeCell ref="G148:G150"/>
    <mergeCell ref="H148:H150"/>
    <mergeCell ref="J148:J150"/>
    <mergeCell ref="K148:K150"/>
    <mergeCell ref="L148:L150"/>
    <mergeCell ref="H195:H196"/>
    <mergeCell ref="G102:G104"/>
    <mergeCell ref="H102:H104"/>
    <mergeCell ref="I102:I104"/>
    <mergeCell ref="B109:B110"/>
    <mergeCell ref="F136:F141"/>
    <mergeCell ref="G126:G135"/>
    <mergeCell ref="G136:G141"/>
    <mergeCell ref="H109:H110"/>
    <mergeCell ref="B148:B150"/>
    <mergeCell ref="B102:B104"/>
    <mergeCell ref="A102:A104"/>
    <mergeCell ref="D102:D104"/>
    <mergeCell ref="E102:E104"/>
    <mergeCell ref="F102:F104"/>
    <mergeCell ref="A109:A110"/>
    <mergeCell ref="F144:F145"/>
    <mergeCell ref="J102:J104"/>
    <mergeCell ref="P102:P104"/>
    <mergeCell ref="K263:K265"/>
    <mergeCell ref="L263:L265"/>
    <mergeCell ref="M263:M265"/>
    <mergeCell ref="H263:H265"/>
    <mergeCell ref="I263:I265"/>
    <mergeCell ref="J263:J265"/>
    <mergeCell ref="M148:M150"/>
    <mergeCell ref="I148:I150"/>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273:S285 Q240:S240 N240:P241 P213:Q221 N226:Q239 R231:S236 R220:S220 R245:S246 N242:Q248 P222:S222 N225:S225 P207:Q207 N207:O224 R199:S199 O199:Q202 O203:S203 R186:S187 R184:S184 Q184:Q187 Q183:S183 Q192:S192 Q188:S188 Q193:Q194 Q189:Q191 N204:Q206 P195:S197 N199:N203 R243:S243 N198:S198 N261:Q286 P210 R261:S261 N250:Q251 R124:S124 Q259:S260 Q255:Q257 N255:P260 N252:S254 R266:S271 P38:S41 O8:P12 R48:S49 N35:S35 N32:Q34 N23:S23 N24:Q24 R31:S31 P36:Q37 Q29:Q31 Q26 Q27:S28 N42:S44 R54:S56 N36:O41 Q12 N5:N12 O5:Q7 Q8:Q9 R6:S7 N13:Q21 N45:Q57 Q132:Q157 N58:P70 Q62:Q70 Q58:Q60 N159:O197 R70:S70 N71:Q71 R84:S84 R92:S92 R88:S90 N26:P31 N249:S249 P159:P194 Q159:Q162 Q163:S163 Q170 Q172 Q171:S171 Q173:S173 Q164 Q158:S158 Q165:S165 Q169:S169 Q177:S177 Q166:Q168 Q174:Q176 Q178:Q182 R147:S156 N107:P158 N73:P105 Q73:Q126">
      <formula1>-100000000000</formula1>
    </dataValidation>
  </dataValidations>
  <printOptions/>
  <pageMargins left="0.31496062992125984" right="0" top="0.3937007874015748" bottom="0.1968503937007874" header="0.15748031496062992"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J186"/>
  <sheetViews>
    <sheetView zoomScalePageLayoutView="0" workbookViewId="0" topLeftCell="A1">
      <pane xSplit="1" ySplit="2" topLeftCell="D173" activePane="bottomRight" state="frozen"/>
      <selection pane="topLeft" activeCell="A1" sqref="A1"/>
      <selection pane="topRight" activeCell="B1" sqref="B1"/>
      <selection pane="bottomLeft" activeCell="A4" sqref="A4"/>
      <selection pane="bottomRight" activeCell="A178" sqref="A178"/>
    </sheetView>
  </sheetViews>
  <sheetFormatPr defaultColWidth="9.00390625" defaultRowHeight="12.75"/>
  <cols>
    <col min="1" max="1" width="59.875" style="140" customWidth="1"/>
    <col min="2" max="2" width="0.875" style="140" hidden="1" customWidth="1"/>
    <col min="3" max="3" width="6.375" style="140" hidden="1" customWidth="1"/>
    <col min="4" max="4" width="7.625" style="140" customWidth="1"/>
    <col min="5" max="5" width="6.875" style="140" customWidth="1"/>
    <col min="6" max="6" width="8.125" style="140" customWidth="1"/>
    <col min="7" max="7" width="7.75390625" style="140" customWidth="1"/>
    <col min="8" max="9" width="7.625" style="140" customWidth="1"/>
    <col min="10" max="16384" width="9.125" style="140" customWidth="1"/>
  </cols>
  <sheetData>
    <row r="1" spans="1:8" s="2" customFormat="1" ht="28.5" customHeight="1">
      <c r="A1" s="214" t="s">
        <v>260</v>
      </c>
      <c r="B1" s="214"/>
      <c r="C1" s="214"/>
      <c r="D1" s="214"/>
      <c r="E1" s="214"/>
      <c r="F1" s="214"/>
      <c r="G1" s="214"/>
      <c r="H1" s="214"/>
    </row>
    <row r="2" spans="1:9" s="2" customFormat="1" ht="36.75" customHeight="1">
      <c r="A2" s="195" t="s">
        <v>58</v>
      </c>
      <c r="B2" s="134" t="s">
        <v>103</v>
      </c>
      <c r="C2" s="134" t="s">
        <v>242</v>
      </c>
      <c r="D2" s="195" t="s">
        <v>327</v>
      </c>
      <c r="E2" s="195"/>
      <c r="F2" s="215" t="s">
        <v>12</v>
      </c>
      <c r="G2" s="195" t="s">
        <v>419</v>
      </c>
      <c r="H2" s="213" t="s">
        <v>722</v>
      </c>
      <c r="I2" s="213" t="s">
        <v>1201</v>
      </c>
    </row>
    <row r="3" spans="1:9" s="2" customFormat="1" ht="24">
      <c r="A3" s="195"/>
      <c r="B3" s="134"/>
      <c r="C3" s="134"/>
      <c r="D3" s="12" t="s">
        <v>366</v>
      </c>
      <c r="E3" s="12" t="s">
        <v>367</v>
      </c>
      <c r="F3" s="216"/>
      <c r="G3" s="195"/>
      <c r="H3" s="213"/>
      <c r="I3" s="213"/>
    </row>
    <row r="4" spans="1:9" s="2" customFormat="1" ht="23.25" customHeight="1">
      <c r="A4" s="11" t="s">
        <v>615</v>
      </c>
      <c r="B4" s="22"/>
      <c r="C4" s="22"/>
      <c r="D4" s="142">
        <f>15000/1000</f>
        <v>15</v>
      </c>
      <c r="E4" s="142">
        <f>15000/1000</f>
        <v>15</v>
      </c>
      <c r="F4" s="95">
        <v>0</v>
      </c>
      <c r="G4" s="95">
        <v>0</v>
      </c>
      <c r="H4" s="95">
        <v>0</v>
      </c>
      <c r="I4" s="95">
        <v>0</v>
      </c>
    </row>
    <row r="5" spans="1:9" s="2" customFormat="1" ht="11.25" customHeight="1">
      <c r="A5" s="11" t="s">
        <v>359</v>
      </c>
      <c r="B5" s="12"/>
      <c r="C5" s="23"/>
      <c r="D5" s="95">
        <f aca="true" t="shared" si="0" ref="D5:E8">20000/1000</f>
        <v>20</v>
      </c>
      <c r="E5" s="95">
        <f t="shared" si="0"/>
        <v>20</v>
      </c>
      <c r="F5" s="95">
        <v>0</v>
      </c>
      <c r="G5" s="95">
        <v>0</v>
      </c>
      <c r="H5" s="95">
        <v>0</v>
      </c>
      <c r="I5" s="95">
        <v>0</v>
      </c>
    </row>
    <row r="6" spans="1:9" s="2" customFormat="1" ht="24" customHeight="1">
      <c r="A6" s="11" t="s">
        <v>618</v>
      </c>
      <c r="B6" s="12"/>
      <c r="C6" s="23"/>
      <c r="D6" s="95">
        <f t="shared" si="0"/>
        <v>20</v>
      </c>
      <c r="E6" s="95">
        <f t="shared" si="0"/>
        <v>20</v>
      </c>
      <c r="F6" s="95">
        <v>0</v>
      </c>
      <c r="G6" s="95">
        <v>0</v>
      </c>
      <c r="H6" s="95">
        <v>0</v>
      </c>
      <c r="I6" s="95">
        <v>0</v>
      </c>
    </row>
    <row r="7" spans="1:9" s="2" customFormat="1" ht="36.75" customHeight="1">
      <c r="A7" s="11" t="s">
        <v>612</v>
      </c>
      <c r="B7" s="12"/>
      <c r="C7" s="23"/>
      <c r="D7" s="95">
        <f t="shared" si="0"/>
        <v>20</v>
      </c>
      <c r="E7" s="95">
        <f t="shared" si="0"/>
        <v>20</v>
      </c>
      <c r="F7" s="95">
        <v>0</v>
      </c>
      <c r="G7" s="95">
        <v>0</v>
      </c>
      <c r="H7" s="95">
        <v>0</v>
      </c>
      <c r="I7" s="95">
        <v>0</v>
      </c>
    </row>
    <row r="8" spans="1:9" s="2" customFormat="1" ht="11.25" customHeight="1">
      <c r="A8" s="11" t="s">
        <v>614</v>
      </c>
      <c r="B8" s="12"/>
      <c r="C8" s="23"/>
      <c r="D8" s="95">
        <f t="shared" si="0"/>
        <v>20</v>
      </c>
      <c r="E8" s="95">
        <f t="shared" si="0"/>
        <v>20</v>
      </c>
      <c r="F8" s="95">
        <v>0</v>
      </c>
      <c r="G8" s="95">
        <v>0</v>
      </c>
      <c r="H8" s="95">
        <v>0</v>
      </c>
      <c r="I8" s="95">
        <v>0</v>
      </c>
    </row>
    <row r="9" spans="1:9" s="2" customFormat="1" ht="36" customHeight="1">
      <c r="A9" s="57" t="s">
        <v>301</v>
      </c>
      <c r="B9" s="116"/>
      <c r="C9" s="135"/>
      <c r="D9" s="96">
        <f>25000/1000</f>
        <v>25</v>
      </c>
      <c r="E9" s="96">
        <f>25000/1000</f>
        <v>25</v>
      </c>
      <c r="F9" s="95">
        <v>0</v>
      </c>
      <c r="G9" s="95">
        <v>0</v>
      </c>
      <c r="H9" s="95">
        <v>0</v>
      </c>
      <c r="I9" s="95">
        <v>0</v>
      </c>
    </row>
    <row r="10" spans="1:9" s="2" customFormat="1" ht="25.5" customHeight="1">
      <c r="A10" s="11" t="s">
        <v>620</v>
      </c>
      <c r="B10" s="12"/>
      <c r="C10" s="23"/>
      <c r="D10" s="95">
        <f>25125/1000</f>
        <v>25.125</v>
      </c>
      <c r="E10" s="95">
        <f>25125/1000</f>
        <v>25.125</v>
      </c>
      <c r="F10" s="95">
        <v>0</v>
      </c>
      <c r="G10" s="95">
        <v>0</v>
      </c>
      <c r="H10" s="95">
        <v>0</v>
      </c>
      <c r="I10" s="95">
        <v>0</v>
      </c>
    </row>
    <row r="11" spans="1:9" s="2" customFormat="1" ht="25.5" customHeight="1">
      <c r="A11" s="11" t="s">
        <v>405</v>
      </c>
      <c r="B11" s="12"/>
      <c r="C11" s="23"/>
      <c r="D11" s="95">
        <f>26800/1000</f>
        <v>26.8</v>
      </c>
      <c r="E11" s="95">
        <f>26800/1000</f>
        <v>26.8</v>
      </c>
      <c r="F11" s="95">
        <v>0</v>
      </c>
      <c r="G11" s="95">
        <v>0</v>
      </c>
      <c r="H11" s="95">
        <v>0</v>
      </c>
      <c r="I11" s="95">
        <v>0</v>
      </c>
    </row>
    <row r="12" spans="1:9" s="2" customFormat="1" ht="36.75" customHeight="1">
      <c r="A12" s="11" t="s">
        <v>611</v>
      </c>
      <c r="B12" s="12"/>
      <c r="C12" s="23"/>
      <c r="D12" s="95">
        <f>28430/1000</f>
        <v>28.43</v>
      </c>
      <c r="E12" s="95">
        <f>28430/1000</f>
        <v>28.43</v>
      </c>
      <c r="F12" s="95">
        <v>0</v>
      </c>
      <c r="G12" s="95">
        <v>0</v>
      </c>
      <c r="H12" s="95">
        <v>0</v>
      </c>
      <c r="I12" s="95">
        <v>0</v>
      </c>
    </row>
    <row r="13" spans="1:9" s="2" customFormat="1" ht="24.75" customHeight="1">
      <c r="A13" s="19" t="s">
        <v>617</v>
      </c>
      <c r="B13" s="12"/>
      <c r="C13" s="23"/>
      <c r="D13" s="95">
        <f>29000/1000</f>
        <v>29</v>
      </c>
      <c r="E13" s="95">
        <f>29000/1000</f>
        <v>29</v>
      </c>
      <c r="F13" s="95">
        <v>0</v>
      </c>
      <c r="G13" s="95">
        <v>0</v>
      </c>
      <c r="H13" s="95">
        <v>0</v>
      </c>
      <c r="I13" s="95">
        <v>0</v>
      </c>
    </row>
    <row r="14" spans="1:9" s="2" customFormat="1" ht="25.5" customHeight="1">
      <c r="A14" s="19" t="s">
        <v>50</v>
      </c>
      <c r="B14" s="12"/>
      <c r="C14" s="23"/>
      <c r="D14" s="95">
        <f>30000/1000</f>
        <v>30</v>
      </c>
      <c r="E14" s="95">
        <f>30000/1000</f>
        <v>30</v>
      </c>
      <c r="F14" s="95">
        <v>0</v>
      </c>
      <c r="G14" s="95">
        <v>0</v>
      </c>
      <c r="H14" s="95">
        <v>0</v>
      </c>
      <c r="I14" s="95">
        <v>0</v>
      </c>
    </row>
    <row r="15" spans="1:9" s="2" customFormat="1" ht="24" customHeight="1">
      <c r="A15" s="19" t="s">
        <v>619</v>
      </c>
      <c r="B15" s="12"/>
      <c r="C15" s="23"/>
      <c r="D15" s="95">
        <f>34000/1000</f>
        <v>34</v>
      </c>
      <c r="E15" s="95">
        <v>0</v>
      </c>
      <c r="F15" s="95">
        <v>0</v>
      </c>
      <c r="G15" s="95">
        <v>0</v>
      </c>
      <c r="H15" s="95">
        <v>0</v>
      </c>
      <c r="I15" s="95">
        <v>0</v>
      </c>
    </row>
    <row r="16" spans="1:9" s="2" customFormat="1" ht="13.5" customHeight="1">
      <c r="A16" s="19" t="s">
        <v>613</v>
      </c>
      <c r="B16" s="12"/>
      <c r="C16" s="23"/>
      <c r="D16" s="95">
        <f>35000/1000</f>
        <v>35</v>
      </c>
      <c r="E16" s="95">
        <f>35000/1000</f>
        <v>35</v>
      </c>
      <c r="F16" s="95">
        <v>0</v>
      </c>
      <c r="G16" s="95">
        <v>0</v>
      </c>
      <c r="H16" s="95">
        <v>0</v>
      </c>
      <c r="I16" s="95">
        <v>0</v>
      </c>
    </row>
    <row r="17" spans="1:9" s="2" customFormat="1" ht="25.5" customHeight="1">
      <c r="A17" s="19" t="s">
        <v>1030</v>
      </c>
      <c r="B17" s="12"/>
      <c r="C17" s="23"/>
      <c r="D17" s="95">
        <f>50000/1000</f>
        <v>50</v>
      </c>
      <c r="E17" s="95">
        <f>50000/1000</f>
        <v>50</v>
      </c>
      <c r="F17" s="95">
        <v>0</v>
      </c>
      <c r="G17" s="95">
        <v>0</v>
      </c>
      <c r="H17" s="95">
        <v>0</v>
      </c>
      <c r="I17" s="95">
        <v>0</v>
      </c>
    </row>
    <row r="18" spans="1:9" s="2" customFormat="1" ht="48" customHeight="1">
      <c r="A18" s="19" t="s">
        <v>607</v>
      </c>
      <c r="B18" s="12"/>
      <c r="C18" s="23"/>
      <c r="D18" s="95">
        <f>50000/1000</f>
        <v>50</v>
      </c>
      <c r="E18" s="95">
        <f>50000/1000</f>
        <v>50</v>
      </c>
      <c r="F18" s="95">
        <v>0</v>
      </c>
      <c r="G18" s="95">
        <v>0</v>
      </c>
      <c r="H18" s="95">
        <v>0</v>
      </c>
      <c r="I18" s="95">
        <v>0</v>
      </c>
    </row>
    <row r="19" spans="1:9" s="2" customFormat="1" ht="36" customHeight="1">
      <c r="A19" s="19" t="s">
        <v>53</v>
      </c>
      <c r="B19" s="12"/>
      <c r="C19" s="23"/>
      <c r="D19" s="95">
        <f>54796/1000</f>
        <v>54.796</v>
      </c>
      <c r="E19" s="95">
        <f>54796/1000</f>
        <v>54.796</v>
      </c>
      <c r="F19" s="95">
        <v>0</v>
      </c>
      <c r="G19" s="95">
        <v>0</v>
      </c>
      <c r="H19" s="95">
        <v>0</v>
      </c>
      <c r="I19" s="95">
        <v>0</v>
      </c>
    </row>
    <row r="20" spans="1:9" s="2" customFormat="1" ht="24" customHeight="1">
      <c r="A20" s="19" t="s">
        <v>48</v>
      </c>
      <c r="B20" s="12"/>
      <c r="C20" s="23"/>
      <c r="D20" s="95">
        <f>59695/1000</f>
        <v>59.695</v>
      </c>
      <c r="E20" s="95">
        <f>59695/1000</f>
        <v>59.695</v>
      </c>
      <c r="F20" s="95">
        <v>0</v>
      </c>
      <c r="G20" s="95">
        <v>0</v>
      </c>
      <c r="H20" s="95">
        <v>0</v>
      </c>
      <c r="I20" s="95">
        <v>0</v>
      </c>
    </row>
    <row r="21" spans="1:9" s="2" customFormat="1" ht="24" customHeight="1">
      <c r="A21" s="19" t="s">
        <v>616</v>
      </c>
      <c r="B21" s="12"/>
      <c r="C21" s="23"/>
      <c r="D21" s="95">
        <f>60000/1000</f>
        <v>60</v>
      </c>
      <c r="E21" s="95">
        <f>60000/1000</f>
        <v>60</v>
      </c>
      <c r="F21" s="95">
        <v>0</v>
      </c>
      <c r="G21" s="95">
        <v>0</v>
      </c>
      <c r="H21" s="95">
        <v>0</v>
      </c>
      <c r="I21" s="95">
        <v>0</v>
      </c>
    </row>
    <row r="22" spans="1:9" s="2" customFormat="1" ht="24" customHeight="1">
      <c r="A22" s="19" t="s">
        <v>515</v>
      </c>
      <c r="B22" s="19" t="s">
        <v>256</v>
      </c>
      <c r="C22" s="23"/>
      <c r="D22" s="95">
        <f>69000/1000</f>
        <v>69</v>
      </c>
      <c r="E22" s="95">
        <f>69000/1000</f>
        <v>69</v>
      </c>
      <c r="F22" s="95">
        <f>71500/1000</f>
        <v>71.5</v>
      </c>
      <c r="G22" s="95">
        <v>39</v>
      </c>
      <c r="H22" s="95">
        <v>0</v>
      </c>
      <c r="I22" s="95">
        <v>0</v>
      </c>
    </row>
    <row r="23" spans="1:9" s="2" customFormat="1" ht="23.25" customHeight="1">
      <c r="A23" s="19" t="s">
        <v>126</v>
      </c>
      <c r="B23" s="19" t="s">
        <v>24</v>
      </c>
      <c r="C23" s="23">
        <v>100000</v>
      </c>
      <c r="D23" s="95">
        <f>99000/1000</f>
        <v>99</v>
      </c>
      <c r="E23" s="95">
        <f>99000/1000</f>
        <v>99</v>
      </c>
      <c r="F23" s="95">
        <f>112000/1000</f>
        <v>112</v>
      </c>
      <c r="G23" s="95">
        <v>107</v>
      </c>
      <c r="H23" s="95">
        <v>107</v>
      </c>
      <c r="I23" s="95">
        <v>0</v>
      </c>
    </row>
    <row r="24" spans="1:9" s="2" customFormat="1" ht="36" customHeight="1">
      <c r="A24" s="19" t="s">
        <v>606</v>
      </c>
      <c r="B24" s="19"/>
      <c r="C24" s="23"/>
      <c r="D24" s="95">
        <f>99960/1000</f>
        <v>99.96</v>
      </c>
      <c r="E24" s="95">
        <f>99960/1000</f>
        <v>99.96</v>
      </c>
      <c r="F24" s="95">
        <v>0</v>
      </c>
      <c r="G24" s="95">
        <v>0</v>
      </c>
      <c r="H24" s="95">
        <v>0</v>
      </c>
      <c r="I24" s="95">
        <v>0</v>
      </c>
    </row>
    <row r="25" spans="1:9" s="2" customFormat="1" ht="24.75" customHeight="1">
      <c r="A25" s="19" t="s">
        <v>125</v>
      </c>
      <c r="B25" s="12"/>
      <c r="C25" s="23"/>
      <c r="D25" s="95">
        <f aca="true" t="shared" si="1" ref="D25:E27">100000/1000</f>
        <v>100</v>
      </c>
      <c r="E25" s="95">
        <f t="shared" si="1"/>
        <v>100</v>
      </c>
      <c r="F25" s="95">
        <v>0</v>
      </c>
      <c r="G25" s="95">
        <v>0</v>
      </c>
      <c r="H25" s="95">
        <v>0</v>
      </c>
      <c r="I25" s="95">
        <v>0</v>
      </c>
    </row>
    <row r="26" spans="1:9" s="2" customFormat="1" ht="25.5" customHeight="1">
      <c r="A26" s="11" t="s">
        <v>406</v>
      </c>
      <c r="B26" s="12"/>
      <c r="C26" s="23"/>
      <c r="D26" s="95">
        <f t="shared" si="1"/>
        <v>100</v>
      </c>
      <c r="E26" s="95">
        <f t="shared" si="1"/>
        <v>100</v>
      </c>
      <c r="F26" s="95">
        <v>0</v>
      </c>
      <c r="G26" s="95">
        <v>0</v>
      </c>
      <c r="H26" s="95">
        <v>0</v>
      </c>
      <c r="I26" s="95">
        <v>0</v>
      </c>
    </row>
    <row r="27" spans="1:9" s="2" customFormat="1" ht="26.25" customHeight="1">
      <c r="A27" s="11" t="s">
        <v>410</v>
      </c>
      <c r="B27" s="12"/>
      <c r="C27" s="23"/>
      <c r="D27" s="95">
        <f t="shared" si="1"/>
        <v>100</v>
      </c>
      <c r="E27" s="95">
        <f t="shared" si="1"/>
        <v>100</v>
      </c>
      <c r="F27" s="95">
        <v>0</v>
      </c>
      <c r="G27" s="95">
        <v>0</v>
      </c>
      <c r="H27" s="95">
        <v>0</v>
      </c>
      <c r="I27" s="95">
        <v>0</v>
      </c>
    </row>
    <row r="28" spans="1:9" s="2" customFormat="1" ht="39" customHeight="1">
      <c r="A28" s="11" t="s">
        <v>300</v>
      </c>
      <c r="B28" s="12"/>
      <c r="C28" s="23"/>
      <c r="D28" s="95">
        <f>130000/1000</f>
        <v>130</v>
      </c>
      <c r="E28" s="95">
        <f>130000/1000</f>
        <v>130</v>
      </c>
      <c r="F28" s="95">
        <v>0</v>
      </c>
      <c r="G28" s="95">
        <v>0</v>
      </c>
      <c r="H28" s="95">
        <v>0</v>
      </c>
      <c r="I28" s="95">
        <v>0</v>
      </c>
    </row>
    <row r="29" spans="1:9" s="2" customFormat="1" ht="14.25" customHeight="1">
      <c r="A29" s="11" t="s">
        <v>299</v>
      </c>
      <c r="B29" s="12"/>
      <c r="C29" s="23"/>
      <c r="D29" s="95">
        <f>137100/1000</f>
        <v>137.1</v>
      </c>
      <c r="E29" s="95">
        <f>137100/1000</f>
        <v>137.1</v>
      </c>
      <c r="F29" s="95">
        <v>0</v>
      </c>
      <c r="G29" s="95">
        <v>0</v>
      </c>
      <c r="H29" s="95">
        <v>0</v>
      </c>
      <c r="I29" s="95">
        <v>0</v>
      </c>
    </row>
    <row r="30" spans="1:9" s="2" customFormat="1" ht="24" customHeight="1">
      <c r="A30" s="19" t="s">
        <v>236</v>
      </c>
      <c r="B30" s="12"/>
      <c r="C30" s="23"/>
      <c r="D30" s="95">
        <f>148300/1000</f>
        <v>148.3</v>
      </c>
      <c r="E30" s="95">
        <f>148300/1000</f>
        <v>148.3</v>
      </c>
      <c r="F30" s="95">
        <v>0</v>
      </c>
      <c r="G30" s="95">
        <v>0</v>
      </c>
      <c r="H30" s="95">
        <v>0</v>
      </c>
      <c r="I30" s="95">
        <v>0</v>
      </c>
    </row>
    <row r="31" spans="1:9" s="2" customFormat="1" ht="36" customHeight="1">
      <c r="A31" s="11" t="s">
        <v>356</v>
      </c>
      <c r="B31" s="12"/>
      <c r="C31" s="23"/>
      <c r="D31" s="95">
        <f>149880/1000</f>
        <v>149.88</v>
      </c>
      <c r="E31" s="95">
        <f>149880/1000</f>
        <v>149.88</v>
      </c>
      <c r="F31" s="95">
        <v>0</v>
      </c>
      <c r="G31" s="95">
        <v>0</v>
      </c>
      <c r="H31" s="95">
        <v>0</v>
      </c>
      <c r="I31" s="95">
        <v>0</v>
      </c>
    </row>
    <row r="32" spans="1:9" s="2" customFormat="1" ht="12.75" customHeight="1">
      <c r="A32" s="19" t="s">
        <v>235</v>
      </c>
      <c r="B32" s="12"/>
      <c r="C32" s="23"/>
      <c r="D32" s="95">
        <f>150000/1000</f>
        <v>150</v>
      </c>
      <c r="E32" s="95">
        <f>150000/1000</f>
        <v>150</v>
      </c>
      <c r="F32" s="95">
        <v>0</v>
      </c>
      <c r="G32" s="95">
        <v>0</v>
      </c>
      <c r="H32" s="95">
        <v>0</v>
      </c>
      <c r="I32" s="95">
        <v>0</v>
      </c>
    </row>
    <row r="33" spans="1:9" s="2" customFormat="1" ht="12" customHeight="1">
      <c r="A33" s="11" t="s">
        <v>294</v>
      </c>
      <c r="B33" s="12"/>
      <c r="C33" s="23"/>
      <c r="D33" s="95">
        <f>150000/1000</f>
        <v>150</v>
      </c>
      <c r="E33" s="95">
        <f>150000/1000</f>
        <v>150</v>
      </c>
      <c r="F33" s="95">
        <v>0</v>
      </c>
      <c r="G33" s="95">
        <v>0</v>
      </c>
      <c r="H33" s="95">
        <v>0</v>
      </c>
      <c r="I33" s="95">
        <v>0</v>
      </c>
    </row>
    <row r="34" spans="1:9" s="2" customFormat="1" ht="21.75" customHeight="1">
      <c r="A34" s="11" t="s">
        <v>605</v>
      </c>
      <c r="B34" s="12"/>
      <c r="C34" s="23"/>
      <c r="D34" s="95">
        <f>152435/1000</f>
        <v>152.435</v>
      </c>
      <c r="E34" s="95">
        <f>152435/1000</f>
        <v>152.435</v>
      </c>
      <c r="F34" s="95">
        <v>0</v>
      </c>
      <c r="G34" s="95">
        <v>0</v>
      </c>
      <c r="H34" s="95">
        <v>0</v>
      </c>
      <c r="I34" s="95">
        <v>0</v>
      </c>
    </row>
    <row r="35" spans="1:9" s="2" customFormat="1" ht="24" customHeight="1">
      <c r="A35" s="11" t="s">
        <v>407</v>
      </c>
      <c r="B35" s="12"/>
      <c r="C35" s="23"/>
      <c r="D35" s="95">
        <f>160000/1000</f>
        <v>160</v>
      </c>
      <c r="E35" s="95">
        <f>160000/1000</f>
        <v>160</v>
      </c>
      <c r="F35" s="95">
        <v>0</v>
      </c>
      <c r="G35" s="95">
        <v>0</v>
      </c>
      <c r="H35" s="95">
        <v>0</v>
      </c>
      <c r="I35" s="95">
        <v>0</v>
      </c>
    </row>
    <row r="36" spans="1:9" s="2" customFormat="1" ht="36" customHeight="1">
      <c r="A36" s="11" t="s">
        <v>369</v>
      </c>
      <c r="B36" s="12"/>
      <c r="C36" s="23"/>
      <c r="D36" s="95">
        <f>160000/1000</f>
        <v>160</v>
      </c>
      <c r="E36" s="95">
        <f>160000/1000</f>
        <v>160</v>
      </c>
      <c r="F36" s="95">
        <v>0</v>
      </c>
      <c r="G36" s="95">
        <v>0</v>
      </c>
      <c r="H36" s="95">
        <v>0</v>
      </c>
      <c r="I36" s="95">
        <v>0</v>
      </c>
    </row>
    <row r="37" spans="1:9" s="2" customFormat="1" ht="12" customHeight="1">
      <c r="A37" s="11" t="s">
        <v>621</v>
      </c>
      <c r="B37" s="12"/>
      <c r="C37" s="23"/>
      <c r="D37" s="95">
        <f>167000/1000</f>
        <v>167</v>
      </c>
      <c r="E37" s="95">
        <f>88219.64/1000</f>
        <v>88.21964</v>
      </c>
      <c r="F37" s="95">
        <v>0</v>
      </c>
      <c r="G37" s="95">
        <v>0</v>
      </c>
      <c r="H37" s="95">
        <v>0</v>
      </c>
      <c r="I37" s="95">
        <v>0</v>
      </c>
    </row>
    <row r="38" spans="1:9" s="2" customFormat="1" ht="11.25" customHeight="1">
      <c r="A38" s="11" t="s">
        <v>296</v>
      </c>
      <c r="B38" s="12"/>
      <c r="C38" s="23"/>
      <c r="D38" s="95">
        <f>181800/1000</f>
        <v>181.8</v>
      </c>
      <c r="E38" s="95">
        <f>181800/1000</f>
        <v>181.8</v>
      </c>
      <c r="F38" s="95">
        <v>0</v>
      </c>
      <c r="G38" s="95">
        <v>0</v>
      </c>
      <c r="H38" s="95">
        <v>0</v>
      </c>
      <c r="I38" s="95">
        <v>0</v>
      </c>
    </row>
    <row r="39" spans="1:9" s="2" customFormat="1" ht="24" customHeight="1">
      <c r="A39" s="11" t="s">
        <v>409</v>
      </c>
      <c r="B39" s="12"/>
      <c r="C39" s="23"/>
      <c r="D39" s="95">
        <f>184655.14/1000</f>
        <v>184.65514000000002</v>
      </c>
      <c r="E39" s="95">
        <f>184655.14/1000</f>
        <v>184.65514000000002</v>
      </c>
      <c r="F39" s="95">
        <v>0</v>
      </c>
      <c r="G39" s="95">
        <v>0</v>
      </c>
      <c r="H39" s="95">
        <v>0</v>
      </c>
      <c r="I39" s="95">
        <v>0</v>
      </c>
    </row>
    <row r="40" spans="1:9" s="2" customFormat="1" ht="24.75" customHeight="1">
      <c r="A40" s="11" t="s">
        <v>601</v>
      </c>
      <c r="B40" s="12"/>
      <c r="C40" s="23"/>
      <c r="D40" s="95">
        <f>190000/1000</f>
        <v>190</v>
      </c>
      <c r="E40" s="95">
        <f>190000/1000</f>
        <v>190</v>
      </c>
      <c r="F40" s="95">
        <v>0</v>
      </c>
      <c r="G40" s="95">
        <v>0</v>
      </c>
      <c r="H40" s="95">
        <v>0</v>
      </c>
      <c r="I40" s="95">
        <v>0</v>
      </c>
    </row>
    <row r="41" spans="1:9" s="2" customFormat="1" ht="23.25" customHeight="1">
      <c r="A41" s="11" t="s">
        <v>525</v>
      </c>
      <c r="B41" s="12"/>
      <c r="C41" s="23"/>
      <c r="D41" s="95">
        <f>193530/1000</f>
        <v>193.53</v>
      </c>
      <c r="E41" s="95">
        <f>193530/1000</f>
        <v>193.53</v>
      </c>
      <c r="F41" s="95">
        <f>360900/1000</f>
        <v>360.9</v>
      </c>
      <c r="G41" s="95">
        <v>0</v>
      </c>
      <c r="H41" s="95">
        <v>0</v>
      </c>
      <c r="I41" s="95">
        <v>0</v>
      </c>
    </row>
    <row r="42" spans="1:9" s="2" customFormat="1" ht="24.75" customHeight="1">
      <c r="A42" s="19" t="s">
        <v>46</v>
      </c>
      <c r="B42" s="12"/>
      <c r="C42" s="23"/>
      <c r="D42" s="95">
        <f aca="true" t="shared" si="2" ref="D42:E44">200000/1000</f>
        <v>200</v>
      </c>
      <c r="E42" s="95">
        <f t="shared" si="2"/>
        <v>200</v>
      </c>
      <c r="F42" s="95">
        <v>0</v>
      </c>
      <c r="G42" s="95">
        <v>0</v>
      </c>
      <c r="H42" s="95">
        <v>0</v>
      </c>
      <c r="I42" s="95">
        <v>0</v>
      </c>
    </row>
    <row r="43" spans="1:9" s="2" customFormat="1" ht="21.75" customHeight="1">
      <c r="A43" s="11" t="s">
        <v>358</v>
      </c>
      <c r="B43" s="12"/>
      <c r="C43" s="23"/>
      <c r="D43" s="95">
        <f t="shared" si="2"/>
        <v>200</v>
      </c>
      <c r="E43" s="95">
        <f t="shared" si="2"/>
        <v>200</v>
      </c>
      <c r="F43" s="95">
        <v>0</v>
      </c>
      <c r="G43" s="95">
        <v>0</v>
      </c>
      <c r="H43" s="95">
        <v>0</v>
      </c>
      <c r="I43" s="95">
        <v>0</v>
      </c>
    </row>
    <row r="44" spans="1:9" s="2" customFormat="1" ht="11.25" customHeight="1">
      <c r="A44" s="11" t="s">
        <v>297</v>
      </c>
      <c r="B44" s="12"/>
      <c r="C44" s="23"/>
      <c r="D44" s="95">
        <f t="shared" si="2"/>
        <v>200</v>
      </c>
      <c r="E44" s="95">
        <f t="shared" si="2"/>
        <v>200</v>
      </c>
      <c r="F44" s="95">
        <v>0</v>
      </c>
      <c r="G44" s="95">
        <v>0</v>
      </c>
      <c r="H44" s="95">
        <v>0</v>
      </c>
      <c r="I44" s="95">
        <v>0</v>
      </c>
    </row>
    <row r="45" spans="1:9" s="2" customFormat="1" ht="21.75" customHeight="1">
      <c r="A45" s="11" t="s">
        <v>602</v>
      </c>
      <c r="B45" s="12"/>
      <c r="C45" s="23"/>
      <c r="D45" s="95">
        <f>219628.33/1000</f>
        <v>219.62832999999998</v>
      </c>
      <c r="E45" s="95">
        <f>219628.33/1000</f>
        <v>219.62832999999998</v>
      </c>
      <c r="F45" s="95">
        <v>0</v>
      </c>
      <c r="G45" s="95">
        <v>0</v>
      </c>
      <c r="H45" s="95">
        <v>0</v>
      </c>
      <c r="I45" s="95">
        <v>0</v>
      </c>
    </row>
    <row r="46" spans="1:9" s="2" customFormat="1" ht="24.75" customHeight="1">
      <c r="A46" s="19" t="s">
        <v>44</v>
      </c>
      <c r="B46" s="12"/>
      <c r="C46" s="23"/>
      <c r="D46" s="95">
        <f>219851/1000</f>
        <v>219.851</v>
      </c>
      <c r="E46" s="95">
        <f>219851/1000</f>
        <v>219.851</v>
      </c>
      <c r="F46" s="95">
        <v>0</v>
      </c>
      <c r="G46" s="95">
        <v>0</v>
      </c>
      <c r="H46" s="95">
        <v>0</v>
      </c>
      <c r="I46" s="95">
        <v>0</v>
      </c>
    </row>
    <row r="47" spans="1:9" s="2" customFormat="1" ht="24.75" customHeight="1">
      <c r="A47" s="19" t="s">
        <v>49</v>
      </c>
      <c r="B47" s="12"/>
      <c r="C47" s="23"/>
      <c r="D47" s="95">
        <f>220000/1000</f>
        <v>220</v>
      </c>
      <c r="E47" s="95">
        <f>220000/1000</f>
        <v>220</v>
      </c>
      <c r="F47" s="95">
        <v>0</v>
      </c>
      <c r="G47" s="95">
        <v>0</v>
      </c>
      <c r="H47" s="95">
        <v>0</v>
      </c>
      <c r="I47" s="95">
        <v>0</v>
      </c>
    </row>
    <row r="48" spans="1:9" s="2" customFormat="1" ht="24" customHeight="1">
      <c r="A48" s="11" t="s">
        <v>357</v>
      </c>
      <c r="B48" s="12"/>
      <c r="C48" s="23"/>
      <c r="D48" s="95">
        <f>225000/1000</f>
        <v>225</v>
      </c>
      <c r="E48" s="95">
        <f>225000/1000</f>
        <v>225</v>
      </c>
      <c r="F48" s="95">
        <v>0</v>
      </c>
      <c r="G48" s="95">
        <v>0</v>
      </c>
      <c r="H48" s="95">
        <v>0</v>
      </c>
      <c r="I48" s="95">
        <v>0</v>
      </c>
    </row>
    <row r="49" spans="1:9" s="2" customFormat="1" ht="25.5" customHeight="1">
      <c r="A49" s="19" t="s">
        <v>277</v>
      </c>
      <c r="B49" s="12"/>
      <c r="C49" s="23"/>
      <c r="D49" s="95">
        <f>229000/1000</f>
        <v>229</v>
      </c>
      <c r="E49" s="95">
        <f>229000/1000</f>
        <v>229</v>
      </c>
      <c r="F49" s="95">
        <v>0</v>
      </c>
      <c r="G49" s="95">
        <v>0</v>
      </c>
      <c r="H49" s="95">
        <v>0</v>
      </c>
      <c r="I49" s="95">
        <v>0</v>
      </c>
    </row>
    <row r="50" spans="1:9" s="2" customFormat="1" ht="24" customHeight="1">
      <c r="A50" s="19" t="s">
        <v>610</v>
      </c>
      <c r="B50" s="12"/>
      <c r="C50" s="23"/>
      <c r="D50" s="95">
        <f>235999.1/1000</f>
        <v>235.9991</v>
      </c>
      <c r="E50" s="95">
        <f>235999.1/1000</f>
        <v>235.9991</v>
      </c>
      <c r="F50" s="95">
        <v>0</v>
      </c>
      <c r="G50" s="95">
        <v>0</v>
      </c>
      <c r="H50" s="95">
        <v>0</v>
      </c>
      <c r="I50" s="95">
        <v>0</v>
      </c>
    </row>
    <row r="51" spans="1:9" s="2" customFormat="1" ht="25.5" customHeight="1">
      <c r="A51" s="19" t="s">
        <v>281</v>
      </c>
      <c r="B51" s="12"/>
      <c r="C51" s="23"/>
      <c r="D51" s="95">
        <f>237000/1000</f>
        <v>237</v>
      </c>
      <c r="E51" s="95">
        <f>237000/1000</f>
        <v>237</v>
      </c>
      <c r="F51" s="95">
        <v>0</v>
      </c>
      <c r="G51" s="95">
        <v>0</v>
      </c>
      <c r="H51" s="95">
        <v>0</v>
      </c>
      <c r="I51" s="95">
        <v>0</v>
      </c>
    </row>
    <row r="52" spans="1:9" s="2" customFormat="1" ht="35.25" customHeight="1">
      <c r="A52" s="19" t="s">
        <v>604</v>
      </c>
      <c r="B52" s="12"/>
      <c r="C52" s="23"/>
      <c r="D52" s="95">
        <f>289900/1000</f>
        <v>289.9</v>
      </c>
      <c r="E52" s="95">
        <f>289900/1000</f>
        <v>289.9</v>
      </c>
      <c r="F52" s="95">
        <v>0</v>
      </c>
      <c r="G52" s="95">
        <v>0</v>
      </c>
      <c r="H52" s="95">
        <v>0</v>
      </c>
      <c r="I52" s="95">
        <v>0</v>
      </c>
    </row>
    <row r="53" spans="1:9" s="2" customFormat="1" ht="24.75" customHeight="1">
      <c r="A53" s="19" t="s">
        <v>45</v>
      </c>
      <c r="B53" s="12"/>
      <c r="C53" s="23"/>
      <c r="D53" s="95">
        <f>(380000-82000)/1000</f>
        <v>298</v>
      </c>
      <c r="E53" s="95">
        <f>(380000-82000)/1000</f>
        <v>298</v>
      </c>
      <c r="F53" s="95">
        <v>0</v>
      </c>
      <c r="G53" s="95">
        <v>0</v>
      </c>
      <c r="H53" s="95">
        <v>0</v>
      </c>
      <c r="I53" s="95">
        <v>0</v>
      </c>
    </row>
    <row r="54" spans="1:9" s="2" customFormat="1" ht="14.25" customHeight="1">
      <c r="A54" s="11" t="s">
        <v>404</v>
      </c>
      <c r="B54" s="12"/>
      <c r="C54" s="23"/>
      <c r="D54" s="95">
        <f>350000/1000</f>
        <v>350</v>
      </c>
      <c r="E54" s="95">
        <f>350000/1000</f>
        <v>350</v>
      </c>
      <c r="F54" s="95">
        <v>0</v>
      </c>
      <c r="G54" s="95">
        <v>0</v>
      </c>
      <c r="H54" s="95">
        <v>0</v>
      </c>
      <c r="I54" s="95">
        <v>0</v>
      </c>
    </row>
    <row r="55" spans="1:9" s="2" customFormat="1" ht="17.25" customHeight="1">
      <c r="A55" s="11" t="s">
        <v>298</v>
      </c>
      <c r="B55" s="12"/>
      <c r="C55" s="23"/>
      <c r="D55" s="95">
        <f>350000/1000</f>
        <v>350</v>
      </c>
      <c r="E55" s="95">
        <f>350000/1000</f>
        <v>350</v>
      </c>
      <c r="F55" s="95">
        <v>0</v>
      </c>
      <c r="G55" s="95">
        <v>0</v>
      </c>
      <c r="H55" s="95">
        <v>0</v>
      </c>
      <c r="I55" s="95">
        <v>0</v>
      </c>
    </row>
    <row r="56" spans="1:9" s="2" customFormat="1" ht="25.5" customHeight="1">
      <c r="A56" s="19" t="s">
        <v>43</v>
      </c>
      <c r="B56" s="12"/>
      <c r="C56" s="23"/>
      <c r="D56" s="95">
        <f>399051.77/1000</f>
        <v>399.05177000000003</v>
      </c>
      <c r="E56" s="95">
        <f>399051.77/1000</f>
        <v>399.05177000000003</v>
      </c>
      <c r="F56" s="95">
        <v>0</v>
      </c>
      <c r="G56" s="95">
        <v>0</v>
      </c>
      <c r="H56" s="95">
        <v>0</v>
      </c>
      <c r="I56" s="95">
        <v>0</v>
      </c>
    </row>
    <row r="57" spans="1:9" s="2" customFormat="1" ht="26.25" customHeight="1">
      <c r="A57" s="19" t="s">
        <v>51</v>
      </c>
      <c r="B57" s="12"/>
      <c r="C57" s="23"/>
      <c r="D57" s="95">
        <f>399500/1000</f>
        <v>399.5</v>
      </c>
      <c r="E57" s="95">
        <f>399500/1000</f>
        <v>399.5</v>
      </c>
      <c r="F57" s="95">
        <v>0</v>
      </c>
      <c r="G57" s="95">
        <v>0</v>
      </c>
      <c r="H57" s="95">
        <v>0</v>
      </c>
      <c r="I57" s="95">
        <v>0</v>
      </c>
    </row>
    <row r="58" spans="1:9" s="2" customFormat="1" ht="14.25" customHeight="1">
      <c r="A58" s="19" t="s">
        <v>42</v>
      </c>
      <c r="B58" s="12"/>
      <c r="C58" s="23"/>
      <c r="D58" s="95">
        <f>402000/1000</f>
        <v>402</v>
      </c>
      <c r="E58" s="95">
        <f>402000/1000</f>
        <v>402</v>
      </c>
      <c r="F58" s="95">
        <v>0</v>
      </c>
      <c r="G58" s="95">
        <v>0</v>
      </c>
      <c r="H58" s="95">
        <v>0</v>
      </c>
      <c r="I58" s="95">
        <v>0</v>
      </c>
    </row>
    <row r="59" spans="1:9" s="2" customFormat="1" ht="24.75" customHeight="1">
      <c r="A59" s="19" t="s">
        <v>278</v>
      </c>
      <c r="B59" s="12"/>
      <c r="C59" s="23"/>
      <c r="D59" s="95">
        <f>450000/1000</f>
        <v>450</v>
      </c>
      <c r="E59" s="95">
        <f>450000/1000</f>
        <v>450</v>
      </c>
      <c r="F59" s="95">
        <v>0</v>
      </c>
      <c r="G59" s="95">
        <v>0</v>
      </c>
      <c r="H59" s="95">
        <v>0</v>
      </c>
      <c r="I59" s="95">
        <v>0</v>
      </c>
    </row>
    <row r="60" spans="1:9" s="2" customFormat="1" ht="23.25" customHeight="1">
      <c r="A60" s="19" t="s">
        <v>52</v>
      </c>
      <c r="B60" s="12"/>
      <c r="C60" s="23"/>
      <c r="D60" s="95">
        <f>485708/1000</f>
        <v>485.708</v>
      </c>
      <c r="E60" s="95">
        <f>485708/1000</f>
        <v>485.708</v>
      </c>
      <c r="F60" s="95">
        <v>0</v>
      </c>
      <c r="G60" s="95">
        <v>0</v>
      </c>
      <c r="H60" s="95">
        <v>0</v>
      </c>
      <c r="I60" s="95">
        <v>0</v>
      </c>
    </row>
    <row r="61" spans="1:9" s="2" customFormat="1" ht="24" customHeight="1">
      <c r="A61" s="19" t="s">
        <v>488</v>
      </c>
      <c r="B61" s="12"/>
      <c r="C61" s="23"/>
      <c r="D61" s="95">
        <f>500000/1000</f>
        <v>500</v>
      </c>
      <c r="E61" s="95">
        <f>400000/1000</f>
        <v>400</v>
      </c>
      <c r="F61" s="95">
        <v>0</v>
      </c>
      <c r="G61" s="95">
        <v>0</v>
      </c>
      <c r="H61" s="95">
        <v>0</v>
      </c>
      <c r="I61" s="95">
        <v>0</v>
      </c>
    </row>
    <row r="62" spans="1:9" s="2" customFormat="1" ht="60.75" customHeight="1">
      <c r="A62" s="19" t="s">
        <v>3</v>
      </c>
      <c r="B62" s="12"/>
      <c r="C62" s="23"/>
      <c r="D62" s="95">
        <f>789000/1000</f>
        <v>789</v>
      </c>
      <c r="E62" s="95">
        <f>789000/1000</f>
        <v>789</v>
      </c>
      <c r="F62" s="95">
        <v>0</v>
      </c>
      <c r="G62" s="95">
        <v>0</v>
      </c>
      <c r="H62" s="95">
        <v>0</v>
      </c>
      <c r="I62" s="95">
        <v>0</v>
      </c>
    </row>
    <row r="63" spans="1:9" s="2" customFormat="1" ht="24" customHeight="1">
      <c r="A63" s="19" t="s">
        <v>112</v>
      </c>
      <c r="B63" s="12"/>
      <c r="C63" s="23"/>
      <c r="D63" s="95">
        <f>800000/1000</f>
        <v>800</v>
      </c>
      <c r="E63" s="95">
        <f>800000/1000</f>
        <v>800</v>
      </c>
      <c r="F63" s="95">
        <v>0</v>
      </c>
      <c r="G63" s="95">
        <v>0</v>
      </c>
      <c r="H63" s="95">
        <v>0</v>
      </c>
      <c r="I63" s="95">
        <v>0</v>
      </c>
    </row>
    <row r="64" spans="1:9" s="2" customFormat="1" ht="13.5" customHeight="1">
      <c r="A64" s="11" t="s">
        <v>295</v>
      </c>
      <c r="B64" s="12"/>
      <c r="C64" s="23"/>
      <c r="D64" s="95">
        <f>809289/1000</f>
        <v>809.289</v>
      </c>
      <c r="E64" s="95">
        <f>809289/1000</f>
        <v>809.289</v>
      </c>
      <c r="F64" s="95">
        <v>0</v>
      </c>
      <c r="G64" s="95">
        <v>0</v>
      </c>
      <c r="H64" s="95">
        <v>0</v>
      </c>
      <c r="I64" s="95">
        <v>0</v>
      </c>
    </row>
    <row r="65" spans="1:9" s="2" customFormat="1" ht="22.5" customHeight="1">
      <c r="A65" s="19" t="s">
        <v>280</v>
      </c>
      <c r="B65" s="12"/>
      <c r="C65" s="23"/>
      <c r="D65" s="95">
        <f>876000/1000</f>
        <v>876</v>
      </c>
      <c r="E65" s="95">
        <f>876000/1000</f>
        <v>876</v>
      </c>
      <c r="F65" s="95">
        <v>0</v>
      </c>
      <c r="G65" s="95">
        <v>0</v>
      </c>
      <c r="H65" s="95">
        <v>0</v>
      </c>
      <c r="I65" s="95">
        <v>0</v>
      </c>
    </row>
    <row r="66" spans="1:9" s="2" customFormat="1" ht="24.75" customHeight="1">
      <c r="A66" s="19" t="s">
        <v>55</v>
      </c>
      <c r="B66" s="19" t="s">
        <v>2</v>
      </c>
      <c r="C66" s="23">
        <v>790700</v>
      </c>
      <c r="D66" s="95">
        <f>930500/1000</f>
        <v>930.5</v>
      </c>
      <c r="E66" s="95">
        <f>930500/1000</f>
        <v>930.5</v>
      </c>
      <c r="F66" s="95">
        <f>1029600/1000</f>
        <v>1029.6</v>
      </c>
      <c r="G66" s="95">
        <f>1029400/1000</f>
        <v>1029.4</v>
      </c>
      <c r="H66" s="95">
        <f>1029400/1000</f>
        <v>1029.4</v>
      </c>
      <c r="I66" s="95">
        <v>0</v>
      </c>
    </row>
    <row r="67" spans="1:9" s="2" customFormat="1" ht="11.25" customHeight="1">
      <c r="A67" s="19" t="s">
        <v>41</v>
      </c>
      <c r="B67" s="12"/>
      <c r="C67" s="23"/>
      <c r="D67" s="95">
        <f>1000000/1000</f>
        <v>1000</v>
      </c>
      <c r="E67" s="95">
        <f>1000000/1000</f>
        <v>1000</v>
      </c>
      <c r="F67" s="95">
        <v>0</v>
      </c>
      <c r="G67" s="95">
        <v>0</v>
      </c>
      <c r="H67" s="95">
        <v>0</v>
      </c>
      <c r="I67" s="95">
        <v>0</v>
      </c>
    </row>
    <row r="68" spans="1:9" s="2" customFormat="1" ht="24" customHeight="1">
      <c r="A68" s="19" t="s">
        <v>47</v>
      </c>
      <c r="B68" s="12"/>
      <c r="C68" s="23"/>
      <c r="D68" s="95">
        <f>1004363.24/1000</f>
        <v>1004.36324</v>
      </c>
      <c r="E68" s="95">
        <f>1004363.24/1000</f>
        <v>1004.36324</v>
      </c>
      <c r="F68" s="95">
        <v>0</v>
      </c>
      <c r="G68" s="95">
        <v>0</v>
      </c>
      <c r="H68" s="95">
        <v>0</v>
      </c>
      <c r="I68" s="95">
        <v>0</v>
      </c>
    </row>
    <row r="69" spans="1:9" s="2" customFormat="1" ht="25.5" customHeight="1">
      <c r="A69" s="11" t="s">
        <v>408</v>
      </c>
      <c r="B69" s="12"/>
      <c r="C69" s="23"/>
      <c r="D69" s="95">
        <f>(2241000-1000000)/1000</f>
        <v>1241</v>
      </c>
      <c r="E69" s="95">
        <f>(2241000-1000000)/1000</f>
        <v>1241</v>
      </c>
      <c r="F69" s="95">
        <v>0</v>
      </c>
      <c r="G69" s="95">
        <v>0</v>
      </c>
      <c r="H69" s="95">
        <v>0</v>
      </c>
      <c r="I69" s="95">
        <v>0</v>
      </c>
    </row>
    <row r="70" spans="1:9" s="2" customFormat="1" ht="13.5" customHeight="1">
      <c r="A70" s="11" t="s">
        <v>603</v>
      </c>
      <c r="B70" s="12"/>
      <c r="C70" s="23"/>
      <c r="D70" s="95">
        <f>1783108.41/1000</f>
        <v>1783.1084099999998</v>
      </c>
      <c r="E70" s="95">
        <f>1783108.41/1000</f>
        <v>1783.1084099999998</v>
      </c>
      <c r="F70" s="95">
        <v>0</v>
      </c>
      <c r="G70" s="95">
        <v>0</v>
      </c>
      <c r="H70" s="95">
        <v>0</v>
      </c>
      <c r="I70" s="95">
        <v>0</v>
      </c>
    </row>
    <row r="71" spans="1:9" s="2" customFormat="1" ht="36.75" customHeight="1">
      <c r="A71" s="19" t="s">
        <v>418</v>
      </c>
      <c r="B71" s="19" t="s">
        <v>207</v>
      </c>
      <c r="C71" s="23"/>
      <c r="D71" s="95">
        <f>1811403/1000</f>
        <v>1811.403</v>
      </c>
      <c r="E71" s="95">
        <f>1801403/1000</f>
        <v>1801.403</v>
      </c>
      <c r="F71" s="95">
        <f>510000/1000</f>
        <v>510</v>
      </c>
      <c r="G71" s="95">
        <v>4249.9</v>
      </c>
      <c r="H71" s="95">
        <v>4250</v>
      </c>
      <c r="I71" s="95">
        <v>2975</v>
      </c>
    </row>
    <row r="72" spans="1:9" s="2" customFormat="1" ht="25.5" customHeight="1">
      <c r="A72" s="19" t="s">
        <v>487</v>
      </c>
      <c r="B72" s="12"/>
      <c r="C72" s="23"/>
      <c r="D72" s="95">
        <f>1826364.83/1000</f>
        <v>1826.36483</v>
      </c>
      <c r="E72" s="95">
        <f>1826364.83/1000</f>
        <v>1826.36483</v>
      </c>
      <c r="F72" s="95">
        <v>0</v>
      </c>
      <c r="G72" s="95">
        <v>0</v>
      </c>
      <c r="H72" s="95">
        <v>0</v>
      </c>
      <c r="I72" s="95">
        <v>0</v>
      </c>
    </row>
    <row r="73" spans="1:9" s="2" customFormat="1" ht="48" customHeight="1">
      <c r="A73" s="19" t="s">
        <v>608</v>
      </c>
      <c r="B73" s="12"/>
      <c r="C73" s="23"/>
      <c r="D73" s="95">
        <f>1993971.2/1000</f>
        <v>1993.9712</v>
      </c>
      <c r="E73" s="95">
        <f>1993971.2/1000</f>
        <v>1993.9712</v>
      </c>
      <c r="F73" s="95">
        <v>0</v>
      </c>
      <c r="G73" s="95">
        <v>0</v>
      </c>
      <c r="H73" s="95">
        <v>0</v>
      </c>
      <c r="I73" s="95">
        <v>0</v>
      </c>
    </row>
    <row r="74" spans="1:9" s="2" customFormat="1" ht="24.75" customHeight="1">
      <c r="A74" s="19" t="s">
        <v>279</v>
      </c>
      <c r="B74" s="12"/>
      <c r="C74" s="23"/>
      <c r="D74" s="95">
        <f>2535000/1000</f>
        <v>2535</v>
      </c>
      <c r="E74" s="95">
        <f>2535000/1000</f>
        <v>2535</v>
      </c>
      <c r="F74" s="95">
        <f>4525091.21/1000</f>
        <v>4525.09121</v>
      </c>
      <c r="G74" s="95">
        <v>0</v>
      </c>
      <c r="H74" s="95">
        <v>0</v>
      </c>
      <c r="I74" s="95">
        <v>0</v>
      </c>
    </row>
    <row r="75" spans="1:9" s="2" customFormat="1" ht="46.5" customHeight="1">
      <c r="A75" s="19" t="s">
        <v>609</v>
      </c>
      <c r="B75" s="12"/>
      <c r="C75" s="23"/>
      <c r="D75" s="95">
        <f>2543770/1000</f>
        <v>2543.77</v>
      </c>
      <c r="E75" s="95">
        <f>2543770/1000</f>
        <v>2543.77</v>
      </c>
      <c r="F75" s="95">
        <v>0</v>
      </c>
      <c r="G75" s="95">
        <v>0</v>
      </c>
      <c r="H75" s="95">
        <v>0</v>
      </c>
      <c r="I75" s="95">
        <v>0</v>
      </c>
    </row>
    <row r="76" spans="1:9" s="2" customFormat="1" ht="46.5" customHeight="1">
      <c r="A76" s="19" t="s">
        <v>512</v>
      </c>
      <c r="B76" s="19" t="s">
        <v>1</v>
      </c>
      <c r="C76" s="23">
        <v>3640000</v>
      </c>
      <c r="D76" s="95">
        <f>2749184.4/1000</f>
        <v>2749.1844</v>
      </c>
      <c r="E76" s="95">
        <f>2503165.91/1000</f>
        <v>2503.16591</v>
      </c>
      <c r="F76" s="95">
        <f>2376500/1000</f>
        <v>2376.5</v>
      </c>
      <c r="G76" s="95">
        <v>2072.3</v>
      </c>
      <c r="H76" s="95">
        <v>2072.3</v>
      </c>
      <c r="I76" s="95">
        <v>2072.3</v>
      </c>
    </row>
    <row r="77" spans="1:9" s="2" customFormat="1" ht="36.75" customHeight="1">
      <c r="A77" s="19" t="s">
        <v>54</v>
      </c>
      <c r="B77" s="12"/>
      <c r="C77" s="23"/>
      <c r="D77" s="95">
        <f>3300218/1000</f>
        <v>3300.218</v>
      </c>
      <c r="E77" s="95">
        <f>3300218/1000</f>
        <v>3300.218</v>
      </c>
      <c r="F77" s="95">
        <v>0</v>
      </c>
      <c r="G77" s="95">
        <v>0</v>
      </c>
      <c r="H77" s="95">
        <v>0</v>
      </c>
      <c r="I77" s="95">
        <v>0</v>
      </c>
    </row>
    <row r="78" spans="1:9" s="2" customFormat="1" ht="36.75" customHeight="1">
      <c r="A78" s="19" t="s">
        <v>511</v>
      </c>
      <c r="B78" s="19" t="s">
        <v>38</v>
      </c>
      <c r="C78" s="23"/>
      <c r="D78" s="95">
        <f>3632000/1000</f>
        <v>3632</v>
      </c>
      <c r="E78" s="95">
        <f>2963011.39/1000</f>
        <v>2963.01139</v>
      </c>
      <c r="F78" s="95">
        <f>438600/1000</f>
        <v>438.6</v>
      </c>
      <c r="G78" s="95">
        <v>0</v>
      </c>
      <c r="H78" s="95">
        <v>0</v>
      </c>
      <c r="I78" s="95">
        <v>0</v>
      </c>
    </row>
    <row r="79" spans="1:9" s="2" customFormat="1" ht="24.75" customHeight="1">
      <c r="A79" s="19" t="s">
        <v>513</v>
      </c>
      <c r="B79" s="19" t="s">
        <v>8</v>
      </c>
      <c r="C79" s="23">
        <v>3864000</v>
      </c>
      <c r="D79" s="95">
        <f>3710000/1000</f>
        <v>3710</v>
      </c>
      <c r="E79" s="95">
        <f>3670945.8/1000</f>
        <v>3670.9458</v>
      </c>
      <c r="F79" s="95">
        <f>4136913/1000</f>
        <v>4136.913</v>
      </c>
      <c r="G79" s="95">
        <v>4407.7</v>
      </c>
      <c r="H79" s="95">
        <v>4620.1</v>
      </c>
      <c r="I79" s="95">
        <v>4688</v>
      </c>
    </row>
    <row r="80" spans="1:9" s="2" customFormat="1" ht="13.5" customHeight="1">
      <c r="A80" s="19" t="s">
        <v>425</v>
      </c>
      <c r="B80" s="12"/>
      <c r="C80" s="23"/>
      <c r="D80" s="95">
        <f>5000000/1000</f>
        <v>5000</v>
      </c>
      <c r="E80" s="95">
        <f>5000000/1000</f>
        <v>5000</v>
      </c>
      <c r="F80" s="95">
        <v>0</v>
      </c>
      <c r="G80" s="95">
        <v>0</v>
      </c>
      <c r="H80" s="95">
        <v>0</v>
      </c>
      <c r="I80" s="95">
        <v>0</v>
      </c>
    </row>
    <row r="81" spans="1:9" s="2" customFormat="1" ht="24" customHeight="1">
      <c r="A81" s="19" t="s">
        <v>492</v>
      </c>
      <c r="B81" s="19" t="s">
        <v>9</v>
      </c>
      <c r="C81" s="23"/>
      <c r="D81" s="95">
        <f>6514000/1000</f>
        <v>6514</v>
      </c>
      <c r="E81" s="95">
        <f>6514000/1000</f>
        <v>6514</v>
      </c>
      <c r="F81" s="95">
        <v>0</v>
      </c>
      <c r="G81" s="95">
        <v>0</v>
      </c>
      <c r="H81" s="95">
        <v>0</v>
      </c>
      <c r="I81" s="95">
        <v>0</v>
      </c>
    </row>
    <row r="82" spans="1:9" s="2" customFormat="1" ht="60" customHeight="1">
      <c r="A82" s="19" t="s">
        <v>510</v>
      </c>
      <c r="B82" s="136" t="s">
        <v>102</v>
      </c>
      <c r="C82" s="23">
        <v>31653000</v>
      </c>
      <c r="D82" s="97">
        <f>9237000/1000</f>
        <v>9237</v>
      </c>
      <c r="E82" s="97">
        <f>9237000/1000</f>
        <v>9237</v>
      </c>
      <c r="F82" s="95">
        <f>(16705000+10000000)/1000</f>
        <v>26705</v>
      </c>
      <c r="G82" s="95">
        <v>26853</v>
      </c>
      <c r="H82" s="95">
        <v>26853</v>
      </c>
      <c r="I82" s="95">
        <v>26853</v>
      </c>
    </row>
    <row r="83" spans="1:9" s="2" customFormat="1" ht="37.5" customHeight="1">
      <c r="A83" s="137" t="s">
        <v>383</v>
      </c>
      <c r="B83" s="19"/>
      <c r="C83" s="23"/>
      <c r="D83" s="95">
        <f>10000000/1000</f>
        <v>10000</v>
      </c>
      <c r="E83" s="95">
        <f>10000000/1000</f>
        <v>10000</v>
      </c>
      <c r="F83" s="95">
        <v>0</v>
      </c>
      <c r="G83" s="95">
        <v>0</v>
      </c>
      <c r="H83" s="95">
        <v>0</v>
      </c>
      <c r="I83" s="95">
        <v>0</v>
      </c>
    </row>
    <row r="84" spans="1:9" s="2" customFormat="1" ht="48" customHeight="1">
      <c r="A84" s="19" t="s">
        <v>1181</v>
      </c>
      <c r="B84" s="136" t="s">
        <v>102</v>
      </c>
      <c r="C84" s="23">
        <v>7631000</v>
      </c>
      <c r="D84" s="95">
        <f>14740395.42/1000</f>
        <v>14740.39542</v>
      </c>
      <c r="E84" s="95">
        <f>14739682.95/1000</f>
        <v>14739.682949999999</v>
      </c>
      <c r="F84" s="95">
        <v>0</v>
      </c>
      <c r="G84" s="95">
        <f>10839</f>
        <v>10839</v>
      </c>
      <c r="H84" s="95">
        <v>11478.5</v>
      </c>
      <c r="I84" s="95">
        <v>12075.4</v>
      </c>
    </row>
    <row r="85" spans="1:9" s="2" customFormat="1" ht="22.5" customHeight="1">
      <c r="A85" s="19" t="s">
        <v>514</v>
      </c>
      <c r="B85" s="19" t="s">
        <v>37</v>
      </c>
      <c r="C85" s="23">
        <v>17262000</v>
      </c>
      <c r="D85" s="95">
        <f>14976400/1000</f>
        <v>14976.4</v>
      </c>
      <c r="E85" s="95">
        <f>12790618.26/1000</f>
        <v>12790.61826</v>
      </c>
      <c r="F85" s="95">
        <f>15892100/1000</f>
        <v>15892.1</v>
      </c>
      <c r="G85" s="95">
        <v>21923.5</v>
      </c>
      <c r="H85" s="95">
        <v>24352.9</v>
      </c>
      <c r="I85" s="95">
        <v>26791.4</v>
      </c>
    </row>
    <row r="86" spans="1:9" s="2" customFormat="1" ht="22.5" customHeight="1">
      <c r="A86" s="11" t="s">
        <v>981</v>
      </c>
      <c r="B86" s="12"/>
      <c r="C86" s="23"/>
      <c r="D86" s="95">
        <v>0</v>
      </c>
      <c r="E86" s="95">
        <v>0</v>
      </c>
      <c r="F86" s="95">
        <f>1000000/1000</f>
        <v>1000</v>
      </c>
      <c r="G86" s="95">
        <v>0</v>
      </c>
      <c r="H86" s="95">
        <v>0</v>
      </c>
      <c r="I86" s="95">
        <v>0</v>
      </c>
    </row>
    <row r="87" spans="1:9" s="2" customFormat="1" ht="23.25" customHeight="1">
      <c r="A87" s="11" t="s">
        <v>689</v>
      </c>
      <c r="B87" s="12"/>
      <c r="C87" s="23"/>
      <c r="D87" s="95">
        <v>0</v>
      </c>
      <c r="E87" s="95">
        <v>0</v>
      </c>
      <c r="F87" s="95">
        <f>17115/1000</f>
        <v>17.115</v>
      </c>
      <c r="G87" s="95">
        <v>0</v>
      </c>
      <c r="H87" s="95">
        <v>0</v>
      </c>
      <c r="I87" s="95">
        <v>0</v>
      </c>
    </row>
    <row r="88" spans="1:9" s="2" customFormat="1" ht="13.5" customHeight="1">
      <c r="A88" s="11" t="s">
        <v>690</v>
      </c>
      <c r="B88" s="12"/>
      <c r="C88" s="23"/>
      <c r="D88" s="95">
        <v>0</v>
      </c>
      <c r="E88" s="95">
        <v>0</v>
      </c>
      <c r="F88" s="95">
        <f>24157/1000</f>
        <v>24.157</v>
      </c>
      <c r="G88" s="95">
        <v>0</v>
      </c>
      <c r="H88" s="95">
        <v>0</v>
      </c>
      <c r="I88" s="95">
        <v>0</v>
      </c>
    </row>
    <row r="89" spans="1:9" s="2" customFormat="1" ht="24" customHeight="1">
      <c r="A89" s="11" t="s">
        <v>691</v>
      </c>
      <c r="B89" s="12"/>
      <c r="C89" s="23"/>
      <c r="D89" s="95">
        <v>0</v>
      </c>
      <c r="E89" s="95">
        <v>0</v>
      </c>
      <c r="F89" s="95">
        <f>92843/1000</f>
        <v>92.843</v>
      </c>
      <c r="G89" s="95">
        <v>0</v>
      </c>
      <c r="H89" s="95">
        <v>0</v>
      </c>
      <c r="I89" s="95">
        <v>0</v>
      </c>
    </row>
    <row r="90" spans="1:9" s="2" customFormat="1" ht="24" customHeight="1">
      <c r="A90" s="11" t="s">
        <v>692</v>
      </c>
      <c r="B90" s="12"/>
      <c r="C90" s="23"/>
      <c r="D90" s="95">
        <v>0</v>
      </c>
      <c r="E90" s="95">
        <v>0</v>
      </c>
      <c r="F90" s="95">
        <f>93000/1000</f>
        <v>93</v>
      </c>
      <c r="G90" s="95">
        <v>0</v>
      </c>
      <c r="H90" s="95">
        <v>0</v>
      </c>
      <c r="I90" s="95">
        <v>0</v>
      </c>
    </row>
    <row r="91" spans="1:9" s="2" customFormat="1" ht="24" customHeight="1">
      <c r="A91" s="11" t="s">
        <v>693</v>
      </c>
      <c r="B91" s="12"/>
      <c r="C91" s="23"/>
      <c r="D91" s="95">
        <v>0</v>
      </c>
      <c r="E91" s="95">
        <v>0</v>
      </c>
      <c r="F91" s="95">
        <f>100000/1000</f>
        <v>100</v>
      </c>
      <c r="G91" s="95">
        <v>0</v>
      </c>
      <c r="H91" s="95">
        <v>0</v>
      </c>
      <c r="I91" s="95">
        <v>0</v>
      </c>
    </row>
    <row r="92" spans="1:9" s="2" customFormat="1" ht="24" customHeight="1">
      <c r="A92" s="11" t="s">
        <v>694</v>
      </c>
      <c r="B92" s="12"/>
      <c r="C92" s="23"/>
      <c r="D92" s="95">
        <v>0</v>
      </c>
      <c r="E92" s="95">
        <v>0</v>
      </c>
      <c r="F92" s="95">
        <f>172000/1000</f>
        <v>172</v>
      </c>
      <c r="G92" s="95">
        <v>0</v>
      </c>
      <c r="H92" s="95">
        <v>0</v>
      </c>
      <c r="I92" s="95">
        <v>0</v>
      </c>
    </row>
    <row r="93" spans="1:9" s="2" customFormat="1" ht="27" customHeight="1">
      <c r="A93" s="11" t="s">
        <v>695</v>
      </c>
      <c r="B93" s="12"/>
      <c r="C93" s="23"/>
      <c r="D93" s="95">
        <v>0</v>
      </c>
      <c r="E93" s="95">
        <v>0</v>
      </c>
      <c r="F93" s="95">
        <f>180000/1000</f>
        <v>180</v>
      </c>
      <c r="G93" s="95">
        <v>0</v>
      </c>
      <c r="H93" s="95">
        <v>0</v>
      </c>
      <c r="I93" s="95">
        <v>0</v>
      </c>
    </row>
    <row r="94" spans="1:9" s="2" customFormat="1" ht="46.5" customHeight="1">
      <c r="A94" s="11" t="s">
        <v>696</v>
      </c>
      <c r="B94" s="12"/>
      <c r="C94" s="23"/>
      <c r="D94" s="95">
        <v>0</v>
      </c>
      <c r="E94" s="95">
        <v>0</v>
      </c>
      <c r="F94" s="95">
        <f>909093.2/1000</f>
        <v>909.0931999999999</v>
      </c>
      <c r="G94" s="95">
        <v>0</v>
      </c>
      <c r="H94" s="95">
        <v>0</v>
      </c>
      <c r="I94" s="95">
        <v>0</v>
      </c>
    </row>
    <row r="95" spans="1:9" s="2" customFormat="1" ht="23.25" customHeight="1">
      <c r="A95" s="11" t="s">
        <v>697</v>
      </c>
      <c r="B95" s="12"/>
      <c r="C95" s="23"/>
      <c r="D95" s="95">
        <v>0</v>
      </c>
      <c r="E95" s="95">
        <v>0</v>
      </c>
      <c r="F95" s="95">
        <f>2800000/1000</f>
        <v>2800</v>
      </c>
      <c r="G95" s="95">
        <v>0</v>
      </c>
      <c r="H95" s="95">
        <v>0</v>
      </c>
      <c r="I95" s="95">
        <v>0</v>
      </c>
    </row>
    <row r="96" spans="1:9" s="2" customFormat="1" ht="23.25" customHeight="1">
      <c r="A96" s="11" t="s">
        <v>698</v>
      </c>
      <c r="B96" s="12"/>
      <c r="C96" s="23"/>
      <c r="D96" s="95">
        <v>0</v>
      </c>
      <c r="E96" s="95">
        <v>0</v>
      </c>
      <c r="F96" s="95">
        <f>4987179/1000</f>
        <v>4987.179</v>
      </c>
      <c r="G96" s="95">
        <v>0</v>
      </c>
      <c r="H96" s="95">
        <v>0</v>
      </c>
      <c r="I96" s="95">
        <v>0</v>
      </c>
    </row>
    <row r="97" spans="1:9" s="2" customFormat="1" ht="24" customHeight="1">
      <c r="A97" s="11" t="s">
        <v>885</v>
      </c>
      <c r="B97" s="12"/>
      <c r="C97" s="23"/>
      <c r="D97" s="95">
        <v>0</v>
      </c>
      <c r="E97" s="95">
        <v>0</v>
      </c>
      <c r="F97" s="95">
        <f>42550/1000</f>
        <v>42.55</v>
      </c>
      <c r="G97" s="95">
        <v>0</v>
      </c>
      <c r="H97" s="95">
        <v>0</v>
      </c>
      <c r="I97" s="95">
        <v>0</v>
      </c>
    </row>
    <row r="98" spans="1:9" s="2" customFormat="1" ht="24.75" customHeight="1">
      <c r="A98" s="11" t="s">
        <v>886</v>
      </c>
      <c r="B98" s="12"/>
      <c r="C98" s="23"/>
      <c r="D98" s="95">
        <v>0</v>
      </c>
      <c r="E98" s="95">
        <v>0</v>
      </c>
      <c r="F98" s="95">
        <f>97018/1000</f>
        <v>97.018</v>
      </c>
      <c r="G98" s="95">
        <v>0</v>
      </c>
      <c r="H98" s="95">
        <v>0</v>
      </c>
      <c r="I98" s="95">
        <v>0</v>
      </c>
    </row>
    <row r="99" spans="1:9" s="2" customFormat="1" ht="23.25" customHeight="1">
      <c r="A99" s="11" t="s">
        <v>887</v>
      </c>
      <c r="B99" s="12"/>
      <c r="C99" s="23"/>
      <c r="D99" s="95">
        <v>0</v>
      </c>
      <c r="E99" s="95">
        <v>0</v>
      </c>
      <c r="F99" s="95">
        <f>140000/1000</f>
        <v>140</v>
      </c>
      <c r="G99" s="95">
        <v>0</v>
      </c>
      <c r="H99" s="95">
        <v>0</v>
      </c>
      <c r="I99" s="95">
        <v>0</v>
      </c>
    </row>
    <row r="100" spans="1:9" s="2" customFormat="1" ht="36" customHeight="1">
      <c r="A100" s="11" t="s">
        <v>888</v>
      </c>
      <c r="B100" s="12"/>
      <c r="C100" s="23"/>
      <c r="D100" s="95">
        <v>0</v>
      </c>
      <c r="E100" s="95">
        <v>0</v>
      </c>
      <c r="F100" s="95">
        <f>1244800/1000</f>
        <v>1244.8</v>
      </c>
      <c r="G100" s="95">
        <v>0</v>
      </c>
      <c r="H100" s="95">
        <v>0</v>
      </c>
      <c r="I100" s="95">
        <v>0</v>
      </c>
    </row>
    <row r="101" spans="1:9" s="2" customFormat="1" ht="36.75" customHeight="1">
      <c r="A101" s="11" t="s">
        <v>889</v>
      </c>
      <c r="B101" s="12"/>
      <c r="C101" s="23"/>
      <c r="D101" s="95">
        <v>0</v>
      </c>
      <c r="E101" s="95">
        <v>0</v>
      </c>
      <c r="F101" s="95">
        <f>1387500/1000</f>
        <v>1387.5</v>
      </c>
      <c r="G101" s="95">
        <v>0</v>
      </c>
      <c r="H101" s="95">
        <v>0</v>
      </c>
      <c r="I101" s="95">
        <v>0</v>
      </c>
    </row>
    <row r="102" spans="1:9" s="2" customFormat="1" ht="36" customHeight="1">
      <c r="A102" s="11" t="s">
        <v>931</v>
      </c>
      <c r="B102" s="12"/>
      <c r="C102" s="23"/>
      <c r="D102" s="95">
        <v>0</v>
      </c>
      <c r="E102" s="95">
        <v>0</v>
      </c>
      <c r="F102" s="95">
        <f>19300/1000</f>
        <v>19.3</v>
      </c>
      <c r="G102" s="95">
        <v>0</v>
      </c>
      <c r="H102" s="95">
        <v>0</v>
      </c>
      <c r="I102" s="95">
        <v>0</v>
      </c>
    </row>
    <row r="103" spans="1:9" s="2" customFormat="1" ht="60" customHeight="1">
      <c r="A103" s="11" t="s">
        <v>932</v>
      </c>
      <c r="B103" s="12"/>
      <c r="C103" s="23"/>
      <c r="D103" s="95">
        <v>0</v>
      </c>
      <c r="E103" s="95">
        <v>0</v>
      </c>
      <c r="F103" s="95">
        <f>43000/1000</f>
        <v>43</v>
      </c>
      <c r="G103" s="95">
        <v>0</v>
      </c>
      <c r="H103" s="95">
        <v>0</v>
      </c>
      <c r="I103" s="95">
        <v>0</v>
      </c>
    </row>
    <row r="104" spans="1:9" s="2" customFormat="1" ht="35.25" customHeight="1">
      <c r="A104" s="11" t="s">
        <v>1083</v>
      </c>
      <c r="B104" s="12"/>
      <c r="C104" s="23"/>
      <c r="D104" s="95">
        <v>0</v>
      </c>
      <c r="E104" s="95">
        <v>0</v>
      </c>
      <c r="F104" s="95">
        <f>50000/1000</f>
        <v>50</v>
      </c>
      <c r="G104" s="95">
        <v>0</v>
      </c>
      <c r="H104" s="95">
        <v>0</v>
      </c>
      <c r="I104" s="95">
        <v>0</v>
      </c>
    </row>
    <row r="105" spans="1:9" s="2" customFormat="1" ht="35.25" customHeight="1">
      <c r="A105" s="11" t="s">
        <v>933</v>
      </c>
      <c r="B105" s="12"/>
      <c r="C105" s="23"/>
      <c r="D105" s="95">
        <v>0</v>
      </c>
      <c r="E105" s="95">
        <v>0</v>
      </c>
      <c r="F105" s="95">
        <f>99000/1000</f>
        <v>99</v>
      </c>
      <c r="G105" s="95">
        <v>0</v>
      </c>
      <c r="H105" s="95">
        <v>0</v>
      </c>
      <c r="I105" s="95">
        <v>0</v>
      </c>
    </row>
    <row r="106" spans="1:9" s="2" customFormat="1" ht="23.25" customHeight="1">
      <c r="A106" s="11" t="s">
        <v>934</v>
      </c>
      <c r="B106" s="12"/>
      <c r="C106" s="23"/>
      <c r="D106" s="95">
        <v>0</v>
      </c>
      <c r="E106" s="95">
        <v>0</v>
      </c>
      <c r="F106" s="95">
        <f>100000/1000</f>
        <v>100</v>
      </c>
      <c r="G106" s="95">
        <v>0</v>
      </c>
      <c r="H106" s="95">
        <v>0</v>
      </c>
      <c r="I106" s="95">
        <v>0</v>
      </c>
    </row>
    <row r="107" spans="1:9" s="2" customFormat="1" ht="28.5" customHeight="1">
      <c r="A107" s="11" t="s">
        <v>935</v>
      </c>
      <c r="B107" s="12"/>
      <c r="C107" s="23"/>
      <c r="D107" s="95">
        <v>0</v>
      </c>
      <c r="E107" s="95">
        <v>0</v>
      </c>
      <c r="F107" s="95">
        <f>100000/1000</f>
        <v>100</v>
      </c>
      <c r="G107" s="95">
        <v>0</v>
      </c>
      <c r="H107" s="95">
        <v>0</v>
      </c>
      <c r="I107" s="95">
        <v>0</v>
      </c>
    </row>
    <row r="108" spans="1:9" s="2" customFormat="1" ht="24.75" customHeight="1">
      <c r="A108" s="11" t="s">
        <v>936</v>
      </c>
      <c r="B108" s="12"/>
      <c r="C108" s="23"/>
      <c r="D108" s="95">
        <v>0</v>
      </c>
      <c r="E108" s="95">
        <v>0</v>
      </c>
      <c r="F108" s="95">
        <f>160000/1000</f>
        <v>160</v>
      </c>
      <c r="G108" s="95">
        <v>0</v>
      </c>
      <c r="H108" s="95">
        <v>0</v>
      </c>
      <c r="I108" s="95">
        <v>0</v>
      </c>
    </row>
    <row r="109" spans="1:9" s="2" customFormat="1" ht="25.5" customHeight="1">
      <c r="A109" s="11" t="s">
        <v>937</v>
      </c>
      <c r="B109" s="12"/>
      <c r="C109" s="23"/>
      <c r="D109" s="95">
        <v>0</v>
      </c>
      <c r="E109" s="95">
        <v>0</v>
      </c>
      <c r="F109" s="95">
        <f>200000/1000</f>
        <v>200</v>
      </c>
      <c r="G109" s="95">
        <v>0</v>
      </c>
      <c r="H109" s="95">
        <v>0</v>
      </c>
      <c r="I109" s="95">
        <v>0</v>
      </c>
    </row>
    <row r="110" spans="1:9" s="2" customFormat="1" ht="26.25" customHeight="1">
      <c r="A110" s="11" t="s">
        <v>938</v>
      </c>
      <c r="B110" s="12"/>
      <c r="C110" s="23"/>
      <c r="D110" s="95">
        <v>0</v>
      </c>
      <c r="E110" s="95">
        <v>0</v>
      </c>
      <c r="F110" s="95">
        <f>295000/1000</f>
        <v>295</v>
      </c>
      <c r="G110" s="95">
        <v>0</v>
      </c>
      <c r="H110" s="95">
        <v>0</v>
      </c>
      <c r="I110" s="95">
        <v>0</v>
      </c>
    </row>
    <row r="111" spans="1:9" s="2" customFormat="1" ht="26.25" customHeight="1">
      <c r="A111" s="11" t="s">
        <v>939</v>
      </c>
      <c r="B111" s="12"/>
      <c r="C111" s="23"/>
      <c r="D111" s="95">
        <v>0</v>
      </c>
      <c r="E111" s="95">
        <v>0</v>
      </c>
      <c r="F111" s="95">
        <f>600000/1000</f>
        <v>600</v>
      </c>
      <c r="G111" s="95">
        <v>0</v>
      </c>
      <c r="H111" s="95">
        <v>0</v>
      </c>
      <c r="I111" s="95">
        <v>0</v>
      </c>
    </row>
    <row r="112" spans="1:9" s="2" customFormat="1" ht="25.5" customHeight="1">
      <c r="A112" s="11" t="s">
        <v>940</v>
      </c>
      <c r="B112" s="12"/>
      <c r="C112" s="23"/>
      <c r="D112" s="95">
        <v>0</v>
      </c>
      <c r="E112" s="95">
        <v>0</v>
      </c>
      <c r="F112" s="95">
        <v>0</v>
      </c>
      <c r="G112" s="95">
        <v>0</v>
      </c>
      <c r="H112" s="95">
        <v>0</v>
      </c>
      <c r="I112" s="95">
        <v>0</v>
      </c>
    </row>
    <row r="113" spans="1:9" s="2" customFormat="1" ht="62.25" customHeight="1">
      <c r="A113" s="11" t="s">
        <v>1151</v>
      </c>
      <c r="B113" s="12"/>
      <c r="C113" s="23"/>
      <c r="D113" s="95">
        <v>0</v>
      </c>
      <c r="E113" s="95">
        <v>0</v>
      </c>
      <c r="F113" s="95">
        <f>3000000/1000</f>
        <v>3000</v>
      </c>
      <c r="G113" s="95">
        <v>0</v>
      </c>
      <c r="H113" s="95">
        <v>0</v>
      </c>
      <c r="I113" s="95">
        <v>0</v>
      </c>
    </row>
    <row r="114" spans="1:9" s="2" customFormat="1" ht="27" customHeight="1">
      <c r="A114" s="11" t="s">
        <v>941</v>
      </c>
      <c r="B114" s="12"/>
      <c r="C114" s="23"/>
      <c r="D114" s="95">
        <v>0</v>
      </c>
      <c r="E114" s="95">
        <v>0</v>
      </c>
      <c r="F114" s="95">
        <f>1990600/1000</f>
        <v>1990.6</v>
      </c>
      <c r="G114" s="95">
        <v>0</v>
      </c>
      <c r="H114" s="95">
        <v>0</v>
      </c>
      <c r="I114" s="95">
        <v>0</v>
      </c>
    </row>
    <row r="115" spans="1:9" s="2" customFormat="1" ht="40.5" customHeight="1">
      <c r="A115" s="11" t="s">
        <v>982</v>
      </c>
      <c r="B115" s="12"/>
      <c r="C115" s="23"/>
      <c r="D115" s="95">
        <v>0</v>
      </c>
      <c r="E115" s="95">
        <v>0</v>
      </c>
      <c r="F115" s="95">
        <f>40900/1000</f>
        <v>40.9</v>
      </c>
      <c r="G115" s="95">
        <v>0</v>
      </c>
      <c r="H115" s="95">
        <v>0</v>
      </c>
      <c r="I115" s="95">
        <v>0</v>
      </c>
    </row>
    <row r="116" spans="1:9" s="2" customFormat="1" ht="40.5" customHeight="1">
      <c r="A116" s="11" t="s">
        <v>983</v>
      </c>
      <c r="B116" s="12"/>
      <c r="C116" s="23"/>
      <c r="D116" s="95">
        <v>0</v>
      </c>
      <c r="E116" s="95">
        <v>0</v>
      </c>
      <c r="F116" s="95">
        <f>98216/1000</f>
        <v>98.216</v>
      </c>
      <c r="G116" s="95">
        <v>0</v>
      </c>
      <c r="H116" s="95">
        <v>0</v>
      </c>
      <c r="I116" s="95">
        <v>0</v>
      </c>
    </row>
    <row r="117" spans="1:9" s="2" customFormat="1" ht="28.5" customHeight="1">
      <c r="A117" s="11" t="s">
        <v>984</v>
      </c>
      <c r="B117" s="12"/>
      <c r="C117" s="23"/>
      <c r="D117" s="95">
        <v>0</v>
      </c>
      <c r="E117" s="95">
        <v>0</v>
      </c>
      <c r="F117" s="95">
        <f>99000/1000</f>
        <v>99</v>
      </c>
      <c r="G117" s="95">
        <v>0</v>
      </c>
      <c r="H117" s="95">
        <v>0</v>
      </c>
      <c r="I117" s="95">
        <v>0</v>
      </c>
    </row>
    <row r="118" spans="1:9" s="2" customFormat="1" ht="42" customHeight="1">
      <c r="A118" s="11" t="s">
        <v>985</v>
      </c>
      <c r="B118" s="12"/>
      <c r="C118" s="23"/>
      <c r="D118" s="95">
        <v>0</v>
      </c>
      <c r="E118" s="95">
        <v>0</v>
      </c>
      <c r="F118" s="95">
        <f>99360/1000</f>
        <v>99.36</v>
      </c>
      <c r="G118" s="95">
        <v>0</v>
      </c>
      <c r="H118" s="95">
        <v>0</v>
      </c>
      <c r="I118" s="95">
        <v>0</v>
      </c>
    </row>
    <row r="119" spans="1:9" s="2" customFormat="1" ht="38.25" customHeight="1">
      <c r="A119" s="11" t="s">
        <v>1013</v>
      </c>
      <c r="B119" s="12"/>
      <c r="C119" s="23"/>
      <c r="D119" s="95">
        <v>0</v>
      </c>
      <c r="E119" s="95">
        <v>0</v>
      </c>
      <c r="F119" s="95">
        <f>99860/1000</f>
        <v>99.86</v>
      </c>
      <c r="G119" s="95">
        <v>0</v>
      </c>
      <c r="H119" s="95">
        <v>0</v>
      </c>
      <c r="I119" s="95">
        <v>0</v>
      </c>
    </row>
    <row r="120" spans="1:9" s="2" customFormat="1" ht="26.25" customHeight="1">
      <c r="A120" s="11" t="s">
        <v>1014</v>
      </c>
      <c r="B120" s="12"/>
      <c r="C120" s="23"/>
      <c r="D120" s="95">
        <v>0</v>
      </c>
      <c r="E120" s="95">
        <v>0</v>
      </c>
      <c r="F120" s="95">
        <f>146000/1000</f>
        <v>146</v>
      </c>
      <c r="G120" s="95">
        <v>0</v>
      </c>
      <c r="H120" s="95">
        <v>0</v>
      </c>
      <c r="I120" s="95">
        <v>0</v>
      </c>
    </row>
    <row r="121" spans="1:9" s="2" customFormat="1" ht="42" customHeight="1">
      <c r="A121" s="11" t="s">
        <v>1015</v>
      </c>
      <c r="B121" s="12"/>
      <c r="C121" s="23"/>
      <c r="D121" s="95">
        <v>0</v>
      </c>
      <c r="E121" s="95">
        <v>0</v>
      </c>
      <c r="F121" s="95">
        <f>177976/1000</f>
        <v>177.976</v>
      </c>
      <c r="G121" s="95">
        <v>0</v>
      </c>
      <c r="H121" s="95">
        <v>0</v>
      </c>
      <c r="I121" s="95">
        <v>0</v>
      </c>
    </row>
    <row r="122" spans="1:9" s="2" customFormat="1" ht="27" customHeight="1">
      <c r="A122" s="11" t="s">
        <v>47</v>
      </c>
      <c r="B122" s="12"/>
      <c r="C122" s="23"/>
      <c r="D122" s="95">
        <v>0</v>
      </c>
      <c r="E122" s="95">
        <v>0</v>
      </c>
      <c r="F122" s="95">
        <f>171781.42/1000</f>
        <v>171.78142000000003</v>
      </c>
      <c r="G122" s="95">
        <v>0</v>
      </c>
      <c r="H122" s="95">
        <v>0</v>
      </c>
      <c r="I122" s="95">
        <v>0</v>
      </c>
    </row>
    <row r="123" spans="1:9" s="2" customFormat="1" ht="14.25" customHeight="1">
      <c r="A123" s="11" t="s">
        <v>1016</v>
      </c>
      <c r="B123" s="12"/>
      <c r="C123" s="23"/>
      <c r="D123" s="95">
        <v>0</v>
      </c>
      <c r="E123" s="95">
        <v>0</v>
      </c>
      <c r="F123" s="95">
        <f>199500/1000</f>
        <v>199.5</v>
      </c>
      <c r="G123" s="95">
        <v>0</v>
      </c>
      <c r="H123" s="95">
        <v>0</v>
      </c>
      <c r="I123" s="95">
        <v>0</v>
      </c>
    </row>
    <row r="124" spans="1:9" s="2" customFormat="1" ht="38.25" customHeight="1">
      <c r="A124" s="11" t="s">
        <v>1017</v>
      </c>
      <c r="B124" s="12"/>
      <c r="C124" s="23"/>
      <c r="D124" s="95">
        <v>0</v>
      </c>
      <c r="E124" s="95">
        <v>0</v>
      </c>
      <c r="F124" s="95">
        <f>205000/1000</f>
        <v>205</v>
      </c>
      <c r="G124" s="95">
        <v>0</v>
      </c>
      <c r="H124" s="95">
        <v>0</v>
      </c>
      <c r="I124" s="95">
        <v>0</v>
      </c>
    </row>
    <row r="125" spans="1:9" s="2" customFormat="1" ht="38.25" customHeight="1">
      <c r="A125" s="11" t="s">
        <v>1018</v>
      </c>
      <c r="B125" s="12"/>
      <c r="C125" s="23"/>
      <c r="D125" s="95">
        <v>0</v>
      </c>
      <c r="E125" s="95">
        <v>0</v>
      </c>
      <c r="F125" s="95">
        <f>239000/1000</f>
        <v>239</v>
      </c>
      <c r="G125" s="95">
        <v>0</v>
      </c>
      <c r="H125" s="95">
        <v>0</v>
      </c>
      <c r="I125" s="95">
        <v>0</v>
      </c>
    </row>
    <row r="126" spans="1:9" s="2" customFormat="1" ht="38.25" customHeight="1">
      <c r="A126" s="11" t="s">
        <v>1019</v>
      </c>
      <c r="B126" s="12"/>
      <c r="C126" s="23"/>
      <c r="D126" s="95">
        <v>0</v>
      </c>
      <c r="E126" s="95">
        <v>0</v>
      </c>
      <c r="F126" s="95">
        <f>279684/1000</f>
        <v>279.684</v>
      </c>
      <c r="G126" s="95">
        <v>0</v>
      </c>
      <c r="H126" s="95">
        <v>0</v>
      </c>
      <c r="I126" s="95">
        <v>0</v>
      </c>
    </row>
    <row r="127" spans="1:9" s="2" customFormat="1" ht="38.25" customHeight="1">
      <c r="A127" s="11" t="s">
        <v>1020</v>
      </c>
      <c r="B127" s="12"/>
      <c r="C127" s="23"/>
      <c r="D127" s="95">
        <v>0</v>
      </c>
      <c r="E127" s="95">
        <v>0</v>
      </c>
      <c r="F127" s="95">
        <f>355397/1000</f>
        <v>355.397</v>
      </c>
      <c r="G127" s="95">
        <v>0</v>
      </c>
      <c r="H127" s="95">
        <v>0</v>
      </c>
      <c r="I127" s="95">
        <v>0</v>
      </c>
    </row>
    <row r="128" spans="1:9" s="2" customFormat="1" ht="24" customHeight="1">
      <c r="A128" s="11" t="s">
        <v>1021</v>
      </c>
      <c r="B128" s="12"/>
      <c r="C128" s="23"/>
      <c r="D128" s="95">
        <v>0</v>
      </c>
      <c r="E128" s="95">
        <v>0</v>
      </c>
      <c r="F128" s="95">
        <f>813500/1000</f>
        <v>813.5</v>
      </c>
      <c r="G128" s="95">
        <v>0</v>
      </c>
      <c r="H128" s="95">
        <v>0</v>
      </c>
      <c r="I128" s="95">
        <v>0</v>
      </c>
    </row>
    <row r="129" spans="1:9" s="2" customFormat="1" ht="26.25" customHeight="1">
      <c r="A129" s="11" t="s">
        <v>1022</v>
      </c>
      <c r="B129" s="12"/>
      <c r="C129" s="23"/>
      <c r="D129" s="95">
        <v>0</v>
      </c>
      <c r="E129" s="95">
        <v>0</v>
      </c>
      <c r="F129" s="95">
        <f>813500/1000</f>
        <v>813.5</v>
      </c>
      <c r="G129" s="95">
        <v>0</v>
      </c>
      <c r="H129" s="95">
        <v>0</v>
      </c>
      <c r="I129" s="95">
        <v>0</v>
      </c>
    </row>
    <row r="130" spans="1:9" s="2" customFormat="1" ht="27" customHeight="1">
      <c r="A130" s="11" t="s">
        <v>1023</v>
      </c>
      <c r="B130" s="12"/>
      <c r="C130" s="23"/>
      <c r="D130" s="95">
        <v>0</v>
      </c>
      <c r="E130" s="95">
        <v>0</v>
      </c>
      <c r="F130" s="95">
        <f>907800/1000</f>
        <v>907.8</v>
      </c>
      <c r="G130" s="95">
        <v>0</v>
      </c>
      <c r="H130" s="95">
        <v>0</v>
      </c>
      <c r="I130" s="95">
        <v>0</v>
      </c>
    </row>
    <row r="131" spans="1:9" s="2" customFormat="1" ht="25.5" customHeight="1">
      <c r="A131" s="11" t="s">
        <v>1024</v>
      </c>
      <c r="B131" s="12"/>
      <c r="C131" s="23"/>
      <c r="D131" s="95">
        <v>0</v>
      </c>
      <c r="E131" s="95">
        <v>0</v>
      </c>
      <c r="F131" s="95">
        <f>4475800/1000</f>
        <v>4475.8</v>
      </c>
      <c r="G131" s="95">
        <v>0</v>
      </c>
      <c r="H131" s="95">
        <v>0</v>
      </c>
      <c r="I131" s="95">
        <v>0</v>
      </c>
    </row>
    <row r="132" spans="1:9" s="2" customFormat="1" ht="38.25" customHeight="1">
      <c r="A132" s="11" t="s">
        <v>1025</v>
      </c>
      <c r="B132" s="12"/>
      <c r="C132" s="23"/>
      <c r="D132" s="95">
        <v>0</v>
      </c>
      <c r="E132" s="95">
        <v>0</v>
      </c>
      <c r="F132" s="95">
        <f>3000000/1000</f>
        <v>3000</v>
      </c>
      <c r="G132" s="95">
        <v>0</v>
      </c>
      <c r="H132" s="95">
        <v>0</v>
      </c>
      <c r="I132" s="95">
        <v>0</v>
      </c>
    </row>
    <row r="133" spans="1:9" s="2" customFormat="1" ht="25.5" customHeight="1">
      <c r="A133" s="11" t="s">
        <v>1031</v>
      </c>
      <c r="B133" s="12"/>
      <c r="C133" s="23"/>
      <c r="D133" s="95">
        <v>0</v>
      </c>
      <c r="E133" s="95">
        <v>0</v>
      </c>
      <c r="F133" s="95">
        <f>45000/1000</f>
        <v>45</v>
      </c>
      <c r="G133" s="95">
        <v>0</v>
      </c>
      <c r="H133" s="95">
        <v>0</v>
      </c>
      <c r="I133" s="95">
        <v>0</v>
      </c>
    </row>
    <row r="134" spans="1:9" s="2" customFormat="1" ht="25.5" customHeight="1">
      <c r="A134" s="11" t="s">
        <v>1032</v>
      </c>
      <c r="B134" s="12"/>
      <c r="C134" s="23"/>
      <c r="D134" s="95">
        <v>0</v>
      </c>
      <c r="E134" s="95">
        <v>0</v>
      </c>
      <c r="F134" s="95">
        <f>50000/1000</f>
        <v>50</v>
      </c>
      <c r="G134" s="95">
        <v>0</v>
      </c>
      <c r="H134" s="95">
        <v>0</v>
      </c>
      <c r="I134" s="95">
        <v>0</v>
      </c>
    </row>
    <row r="135" spans="1:9" s="2" customFormat="1" ht="25.5" customHeight="1">
      <c r="A135" s="11" t="s">
        <v>1033</v>
      </c>
      <c r="B135" s="12"/>
      <c r="C135" s="23"/>
      <c r="D135" s="95">
        <v>0</v>
      </c>
      <c r="E135" s="95">
        <v>0</v>
      </c>
      <c r="F135" s="95">
        <f>50000/1000</f>
        <v>50</v>
      </c>
      <c r="G135" s="95">
        <v>0</v>
      </c>
      <c r="H135" s="95">
        <v>0</v>
      </c>
      <c r="I135" s="95">
        <v>0</v>
      </c>
    </row>
    <row r="136" spans="1:9" s="2" customFormat="1" ht="39" customHeight="1">
      <c r="A136" s="11" t="s">
        <v>1034</v>
      </c>
      <c r="B136" s="12"/>
      <c r="C136" s="23"/>
      <c r="D136" s="95">
        <v>0</v>
      </c>
      <c r="E136" s="95">
        <v>0</v>
      </c>
      <c r="F136" s="95">
        <f>80000/1000</f>
        <v>80</v>
      </c>
      <c r="G136" s="95">
        <v>0</v>
      </c>
      <c r="H136" s="95">
        <v>0</v>
      </c>
      <c r="I136" s="95">
        <v>0</v>
      </c>
    </row>
    <row r="137" spans="1:9" s="2" customFormat="1" ht="39" customHeight="1">
      <c r="A137" s="11" t="s">
        <v>1035</v>
      </c>
      <c r="B137" s="12"/>
      <c r="C137" s="23"/>
      <c r="D137" s="95">
        <v>0</v>
      </c>
      <c r="E137" s="95">
        <v>0</v>
      </c>
      <c r="F137" s="95">
        <f>95000/1000</f>
        <v>95</v>
      </c>
      <c r="G137" s="95">
        <v>0</v>
      </c>
      <c r="H137" s="95">
        <v>0</v>
      </c>
      <c r="I137" s="95">
        <v>0</v>
      </c>
    </row>
    <row r="138" spans="1:9" s="2" customFormat="1" ht="39" customHeight="1">
      <c r="A138" s="11" t="s">
        <v>1036</v>
      </c>
      <c r="B138" s="12"/>
      <c r="C138" s="23"/>
      <c r="D138" s="95">
        <v>0</v>
      </c>
      <c r="E138" s="95">
        <v>0</v>
      </c>
      <c r="F138" s="95">
        <f>99260/1000</f>
        <v>99.26</v>
      </c>
      <c r="G138" s="95">
        <v>0</v>
      </c>
      <c r="H138" s="95">
        <v>0</v>
      </c>
      <c r="I138" s="95">
        <v>0</v>
      </c>
    </row>
    <row r="139" spans="1:9" s="2" customFormat="1" ht="39" customHeight="1">
      <c r="A139" s="11" t="s">
        <v>1037</v>
      </c>
      <c r="B139" s="12"/>
      <c r="C139" s="23"/>
      <c r="D139" s="95">
        <v>0</v>
      </c>
      <c r="E139" s="95">
        <v>0</v>
      </c>
      <c r="F139" s="95">
        <f>99500/1000</f>
        <v>99.5</v>
      </c>
      <c r="G139" s="95">
        <v>0</v>
      </c>
      <c r="H139" s="95">
        <v>0</v>
      </c>
      <c r="I139" s="95">
        <v>0</v>
      </c>
    </row>
    <row r="140" spans="1:9" s="2" customFormat="1" ht="39" customHeight="1">
      <c r="A140" s="11" t="s">
        <v>1038</v>
      </c>
      <c r="B140" s="12"/>
      <c r="C140" s="23"/>
      <c r="D140" s="95">
        <v>0</v>
      </c>
      <c r="E140" s="95">
        <v>0</v>
      </c>
      <c r="F140" s="95">
        <f>140000/1000</f>
        <v>140</v>
      </c>
      <c r="G140" s="95">
        <v>0</v>
      </c>
      <c r="H140" s="95">
        <v>0</v>
      </c>
      <c r="I140" s="95">
        <v>0</v>
      </c>
    </row>
    <row r="141" spans="1:9" s="2" customFormat="1" ht="25.5" customHeight="1">
      <c r="A141" s="11" t="s">
        <v>1039</v>
      </c>
      <c r="B141" s="12"/>
      <c r="C141" s="23"/>
      <c r="D141" s="95">
        <v>0</v>
      </c>
      <c r="E141" s="95">
        <v>0</v>
      </c>
      <c r="F141" s="95">
        <f>140000/1000</f>
        <v>140</v>
      </c>
      <c r="G141" s="95">
        <v>0</v>
      </c>
      <c r="H141" s="95">
        <v>0</v>
      </c>
      <c r="I141" s="95">
        <v>0</v>
      </c>
    </row>
    <row r="142" spans="1:9" s="2" customFormat="1" ht="37.5" customHeight="1">
      <c r="A142" s="11" t="s">
        <v>1040</v>
      </c>
      <c r="B142" s="12"/>
      <c r="C142" s="23"/>
      <c r="D142" s="95">
        <v>0</v>
      </c>
      <c r="E142" s="95">
        <v>0</v>
      </c>
      <c r="F142" s="95">
        <f>168370/1000</f>
        <v>168.37</v>
      </c>
      <c r="G142" s="95">
        <v>0</v>
      </c>
      <c r="H142" s="95">
        <v>0</v>
      </c>
      <c r="I142" s="95">
        <v>0</v>
      </c>
    </row>
    <row r="143" spans="1:9" s="2" customFormat="1" ht="26.25" customHeight="1">
      <c r="A143" s="11" t="s">
        <v>1041</v>
      </c>
      <c r="B143" s="12"/>
      <c r="C143" s="23"/>
      <c r="D143" s="95">
        <v>0</v>
      </c>
      <c r="E143" s="95">
        <v>0</v>
      </c>
      <c r="F143" s="95">
        <f>219182.5/1000</f>
        <v>219.1825</v>
      </c>
      <c r="G143" s="95">
        <v>0</v>
      </c>
      <c r="H143" s="95">
        <v>0</v>
      </c>
      <c r="I143" s="95">
        <v>0</v>
      </c>
    </row>
    <row r="144" spans="1:9" s="2" customFormat="1" ht="27" customHeight="1">
      <c r="A144" s="11" t="s">
        <v>1042</v>
      </c>
      <c r="B144" s="12"/>
      <c r="C144" s="23"/>
      <c r="D144" s="95">
        <v>0</v>
      </c>
      <c r="E144" s="95">
        <v>0</v>
      </c>
      <c r="F144" s="95">
        <f>430000/1000</f>
        <v>430</v>
      </c>
      <c r="G144" s="95">
        <v>0</v>
      </c>
      <c r="H144" s="95">
        <v>0</v>
      </c>
      <c r="I144" s="95">
        <v>0</v>
      </c>
    </row>
    <row r="145" spans="1:9" s="2" customFormat="1" ht="47.25" customHeight="1">
      <c r="A145" s="11" t="s">
        <v>1043</v>
      </c>
      <c r="B145" s="12"/>
      <c r="C145" s="23"/>
      <c r="D145" s="95">
        <v>0</v>
      </c>
      <c r="E145" s="95">
        <v>0</v>
      </c>
      <c r="F145" s="95">
        <f>862886/1000</f>
        <v>862.886</v>
      </c>
      <c r="G145" s="95">
        <v>0</v>
      </c>
      <c r="H145" s="95">
        <v>0</v>
      </c>
      <c r="I145" s="95">
        <v>0</v>
      </c>
    </row>
    <row r="146" spans="1:9" s="2" customFormat="1" ht="23.25" customHeight="1">
      <c r="A146" s="11" t="s">
        <v>1044</v>
      </c>
      <c r="B146" s="12"/>
      <c r="C146" s="23"/>
      <c r="D146" s="95">
        <v>0</v>
      </c>
      <c r="E146" s="95">
        <v>0</v>
      </c>
      <c r="F146" s="95">
        <f>1000000/1000</f>
        <v>1000</v>
      </c>
      <c r="G146" s="95">
        <v>0</v>
      </c>
      <c r="H146" s="95">
        <v>0</v>
      </c>
      <c r="I146" s="95">
        <v>0</v>
      </c>
    </row>
    <row r="147" spans="1:9" s="2" customFormat="1" ht="39" customHeight="1">
      <c r="A147" s="11" t="s">
        <v>1045</v>
      </c>
      <c r="B147" s="12"/>
      <c r="C147" s="23"/>
      <c r="D147" s="95">
        <v>0</v>
      </c>
      <c r="E147" s="95">
        <v>0</v>
      </c>
      <c r="F147" s="95">
        <f>1100000/1000</f>
        <v>1100</v>
      </c>
      <c r="G147" s="95">
        <v>0</v>
      </c>
      <c r="H147" s="95">
        <v>0</v>
      </c>
      <c r="I147" s="95">
        <v>0</v>
      </c>
    </row>
    <row r="148" spans="1:9" s="2" customFormat="1" ht="25.5" customHeight="1">
      <c r="A148" s="11" t="s">
        <v>1046</v>
      </c>
      <c r="B148" s="12"/>
      <c r="C148" s="23"/>
      <c r="D148" s="95">
        <v>0</v>
      </c>
      <c r="E148" s="95">
        <v>0</v>
      </c>
      <c r="F148" s="95">
        <f>2030000/1000</f>
        <v>2030</v>
      </c>
      <c r="G148" s="95">
        <v>0</v>
      </c>
      <c r="H148" s="95">
        <v>0</v>
      </c>
      <c r="I148" s="95">
        <v>0</v>
      </c>
    </row>
    <row r="149" spans="1:9" s="2" customFormat="1" ht="25.5" customHeight="1">
      <c r="A149" s="11" t="s">
        <v>1081</v>
      </c>
      <c r="B149" s="12"/>
      <c r="C149" s="23"/>
      <c r="D149" s="95">
        <v>0</v>
      </c>
      <c r="E149" s="95">
        <v>0</v>
      </c>
      <c r="F149" s="95">
        <v>80</v>
      </c>
      <c r="G149" s="95">
        <v>0</v>
      </c>
      <c r="H149" s="95">
        <v>0</v>
      </c>
      <c r="I149" s="95">
        <v>0</v>
      </c>
    </row>
    <row r="150" spans="1:9" s="2" customFormat="1" ht="25.5" customHeight="1">
      <c r="A150" s="11" t="s">
        <v>1079</v>
      </c>
      <c r="B150" s="12"/>
      <c r="C150" s="23"/>
      <c r="D150" s="95">
        <v>0</v>
      </c>
      <c r="E150" s="95">
        <v>0</v>
      </c>
      <c r="F150" s="95">
        <f>409624/1000</f>
        <v>409.624</v>
      </c>
      <c r="G150" s="95">
        <v>0</v>
      </c>
      <c r="H150" s="95">
        <v>0</v>
      </c>
      <c r="I150" s="95">
        <v>0</v>
      </c>
    </row>
    <row r="151" spans="1:9" s="2" customFormat="1" ht="25.5" customHeight="1">
      <c r="A151" s="11" t="s">
        <v>1080</v>
      </c>
      <c r="B151" s="12"/>
      <c r="C151" s="23"/>
      <c r="D151" s="95">
        <v>0</v>
      </c>
      <c r="E151" s="95">
        <v>0</v>
      </c>
      <c r="F151" s="95">
        <f>2800000/1000</f>
        <v>2800</v>
      </c>
      <c r="G151" s="95">
        <v>0</v>
      </c>
      <c r="H151" s="95">
        <v>0</v>
      </c>
      <c r="I151" s="95">
        <v>0</v>
      </c>
    </row>
    <row r="152" spans="1:9" s="2" customFormat="1" ht="25.5" customHeight="1">
      <c r="A152" s="11" t="s">
        <v>1082</v>
      </c>
      <c r="B152" s="12"/>
      <c r="C152" s="23"/>
      <c r="D152" s="95">
        <v>0</v>
      </c>
      <c r="E152" s="95">
        <v>0</v>
      </c>
      <c r="F152" s="95">
        <f>8203600/1000</f>
        <v>8203.6</v>
      </c>
      <c r="G152" s="95">
        <v>0</v>
      </c>
      <c r="H152" s="95">
        <v>0</v>
      </c>
      <c r="I152" s="95">
        <v>0</v>
      </c>
    </row>
    <row r="153" spans="1:9" s="2" customFormat="1" ht="38.25" customHeight="1">
      <c r="A153" s="11" t="s">
        <v>1125</v>
      </c>
      <c r="B153" s="12"/>
      <c r="C153" s="23"/>
      <c r="D153" s="95">
        <v>0</v>
      </c>
      <c r="E153" s="95">
        <v>0</v>
      </c>
      <c r="F153" s="95">
        <f>20000/1000</f>
        <v>20</v>
      </c>
      <c r="G153" s="95">
        <v>0</v>
      </c>
      <c r="H153" s="95">
        <v>0</v>
      </c>
      <c r="I153" s="95">
        <v>0</v>
      </c>
    </row>
    <row r="154" spans="1:9" s="2" customFormat="1" ht="12.75" customHeight="1">
      <c r="A154" s="11" t="s">
        <v>1126</v>
      </c>
      <c r="B154" s="12"/>
      <c r="C154" s="23"/>
      <c r="D154" s="95">
        <v>0</v>
      </c>
      <c r="E154" s="95">
        <v>0</v>
      </c>
      <c r="F154" s="95">
        <f>30000/1000</f>
        <v>30</v>
      </c>
      <c r="G154" s="95">
        <v>0</v>
      </c>
      <c r="H154" s="95">
        <v>0</v>
      </c>
      <c r="I154" s="95">
        <v>0</v>
      </c>
    </row>
    <row r="155" spans="1:9" s="2" customFormat="1" ht="25.5" customHeight="1">
      <c r="A155" s="11" t="s">
        <v>1127</v>
      </c>
      <c r="B155" s="12"/>
      <c r="C155" s="23"/>
      <c r="D155" s="95">
        <v>0</v>
      </c>
      <c r="E155" s="95">
        <v>0</v>
      </c>
      <c r="F155" s="95">
        <f>35000/1000</f>
        <v>35</v>
      </c>
      <c r="G155" s="95">
        <v>0</v>
      </c>
      <c r="H155" s="95">
        <v>0</v>
      </c>
      <c r="I155" s="95">
        <v>0</v>
      </c>
    </row>
    <row r="156" spans="1:9" s="2" customFormat="1" ht="25.5" customHeight="1">
      <c r="A156" s="11" t="s">
        <v>1128</v>
      </c>
      <c r="B156" s="12"/>
      <c r="C156" s="23"/>
      <c r="D156" s="95">
        <v>0</v>
      </c>
      <c r="E156" s="95">
        <v>0</v>
      </c>
      <c r="F156" s="95">
        <f>35000/1000</f>
        <v>35</v>
      </c>
      <c r="G156" s="95">
        <v>0</v>
      </c>
      <c r="H156" s="95">
        <v>0</v>
      </c>
      <c r="I156" s="95">
        <v>0</v>
      </c>
    </row>
    <row r="157" spans="1:9" s="2" customFormat="1" ht="38.25" customHeight="1">
      <c r="A157" s="11" t="s">
        <v>1129</v>
      </c>
      <c r="B157" s="12"/>
      <c r="C157" s="23"/>
      <c r="D157" s="95">
        <v>0</v>
      </c>
      <c r="E157" s="95">
        <v>0</v>
      </c>
      <c r="F157" s="95">
        <f>37700/1000</f>
        <v>37.7</v>
      </c>
      <c r="G157" s="95">
        <v>0</v>
      </c>
      <c r="H157" s="95">
        <v>0</v>
      </c>
      <c r="I157" s="95">
        <v>0</v>
      </c>
    </row>
    <row r="158" spans="1:9" s="2" customFormat="1" ht="25.5" customHeight="1">
      <c r="A158" s="11" t="s">
        <v>1130</v>
      </c>
      <c r="B158" s="12"/>
      <c r="C158" s="23"/>
      <c r="D158" s="95">
        <v>0</v>
      </c>
      <c r="E158" s="95">
        <v>0</v>
      </c>
      <c r="F158" s="95">
        <f>72000/1000</f>
        <v>72</v>
      </c>
      <c r="G158" s="95">
        <v>0</v>
      </c>
      <c r="H158" s="95">
        <v>0</v>
      </c>
      <c r="I158" s="95">
        <v>0</v>
      </c>
    </row>
    <row r="159" spans="1:9" s="2" customFormat="1" ht="38.25" customHeight="1">
      <c r="A159" s="11" t="s">
        <v>1131</v>
      </c>
      <c r="B159" s="12"/>
      <c r="C159" s="23"/>
      <c r="D159" s="95">
        <v>0</v>
      </c>
      <c r="E159" s="95">
        <v>0</v>
      </c>
      <c r="F159" s="95">
        <f>74444/1000</f>
        <v>74.444</v>
      </c>
      <c r="G159" s="95">
        <v>0</v>
      </c>
      <c r="H159" s="95">
        <v>0</v>
      </c>
      <c r="I159" s="95">
        <v>0</v>
      </c>
    </row>
    <row r="160" spans="1:9" s="2" customFormat="1" ht="40.5" customHeight="1">
      <c r="A160" s="11" t="s">
        <v>1132</v>
      </c>
      <c r="B160" s="12"/>
      <c r="C160" s="23"/>
      <c r="D160" s="95">
        <v>0</v>
      </c>
      <c r="E160" s="95">
        <v>0</v>
      </c>
      <c r="F160" s="95">
        <f>78850/1000</f>
        <v>78.85</v>
      </c>
      <c r="G160" s="95">
        <v>0</v>
      </c>
      <c r="H160" s="95">
        <v>0</v>
      </c>
      <c r="I160" s="95">
        <v>0</v>
      </c>
    </row>
    <row r="161" spans="1:9" s="2" customFormat="1" ht="39" customHeight="1">
      <c r="A161" s="11" t="s">
        <v>1133</v>
      </c>
      <c r="B161" s="12"/>
      <c r="C161" s="23"/>
      <c r="D161" s="95">
        <v>0</v>
      </c>
      <c r="E161" s="95">
        <v>0</v>
      </c>
      <c r="F161" s="95">
        <f>80000/1000</f>
        <v>80</v>
      </c>
      <c r="G161" s="95">
        <v>0</v>
      </c>
      <c r="H161" s="95">
        <v>0</v>
      </c>
      <c r="I161" s="95">
        <v>0</v>
      </c>
    </row>
    <row r="162" spans="1:9" s="2" customFormat="1" ht="40.5" customHeight="1">
      <c r="A162" s="11" t="s">
        <v>1134</v>
      </c>
      <c r="B162" s="12"/>
      <c r="C162" s="23"/>
      <c r="D162" s="95">
        <v>0</v>
      </c>
      <c r="E162" s="95">
        <v>0</v>
      </c>
      <c r="F162" s="95">
        <f>92428/1000</f>
        <v>92.428</v>
      </c>
      <c r="G162" s="95">
        <v>0</v>
      </c>
      <c r="H162" s="95">
        <v>0</v>
      </c>
      <c r="I162" s="95">
        <v>0</v>
      </c>
    </row>
    <row r="163" spans="1:9" s="2" customFormat="1" ht="25.5" customHeight="1">
      <c r="A163" s="11" t="s">
        <v>1135</v>
      </c>
      <c r="B163" s="12"/>
      <c r="C163" s="23"/>
      <c r="D163" s="95">
        <v>0</v>
      </c>
      <c r="E163" s="95">
        <v>0</v>
      </c>
      <c r="F163" s="95">
        <f>159865/1000</f>
        <v>159.865</v>
      </c>
      <c r="G163" s="95">
        <v>0</v>
      </c>
      <c r="H163" s="95">
        <v>0</v>
      </c>
      <c r="I163" s="95">
        <v>0</v>
      </c>
    </row>
    <row r="164" spans="1:9" s="2" customFormat="1" ht="64.5" customHeight="1">
      <c r="A164" s="11" t="s">
        <v>1136</v>
      </c>
      <c r="B164" s="12"/>
      <c r="C164" s="23"/>
      <c r="D164" s="95">
        <v>0</v>
      </c>
      <c r="E164" s="95">
        <v>0</v>
      </c>
      <c r="F164" s="95">
        <f>600000/1000</f>
        <v>600</v>
      </c>
      <c r="G164" s="95">
        <v>0</v>
      </c>
      <c r="H164" s="95">
        <v>0</v>
      </c>
      <c r="I164" s="95">
        <v>0</v>
      </c>
    </row>
    <row r="165" spans="1:9" s="2" customFormat="1" ht="25.5" customHeight="1">
      <c r="A165" s="11" t="s">
        <v>1137</v>
      </c>
      <c r="B165" s="12"/>
      <c r="C165" s="23"/>
      <c r="D165" s="95">
        <v>0</v>
      </c>
      <c r="E165" s="95">
        <v>0</v>
      </c>
      <c r="F165" s="95">
        <f>800000/1000</f>
        <v>800</v>
      </c>
      <c r="G165" s="95">
        <v>0</v>
      </c>
      <c r="H165" s="95">
        <v>0</v>
      </c>
      <c r="I165" s="95">
        <v>0</v>
      </c>
    </row>
    <row r="166" spans="1:9" s="2" customFormat="1" ht="25.5" customHeight="1">
      <c r="A166" s="11" t="s">
        <v>1138</v>
      </c>
      <c r="B166" s="12"/>
      <c r="C166" s="23"/>
      <c r="D166" s="95">
        <v>0</v>
      </c>
      <c r="E166" s="95">
        <v>0</v>
      </c>
      <c r="F166" s="95">
        <f>424980/1000</f>
        <v>424.98</v>
      </c>
      <c r="G166" s="95">
        <v>0</v>
      </c>
      <c r="H166" s="95">
        <v>0</v>
      </c>
      <c r="I166" s="95">
        <v>0</v>
      </c>
    </row>
    <row r="167" spans="1:9" s="2" customFormat="1" ht="38.25" customHeight="1">
      <c r="A167" s="11" t="s">
        <v>1139</v>
      </c>
      <c r="B167" s="12"/>
      <c r="C167" s="23"/>
      <c r="D167" s="95">
        <v>0</v>
      </c>
      <c r="E167" s="95">
        <v>0</v>
      </c>
      <c r="F167" s="95">
        <f>1000000/1000</f>
        <v>1000</v>
      </c>
      <c r="G167" s="95">
        <v>0</v>
      </c>
      <c r="H167" s="95">
        <v>0</v>
      </c>
      <c r="I167" s="95">
        <v>0</v>
      </c>
    </row>
    <row r="168" spans="1:9" s="2" customFormat="1" ht="53.25" customHeight="1">
      <c r="A168" s="11" t="s">
        <v>1140</v>
      </c>
      <c r="B168" s="12"/>
      <c r="C168" s="23"/>
      <c r="D168" s="95">
        <v>0</v>
      </c>
      <c r="E168" s="95">
        <v>0</v>
      </c>
      <c r="F168" s="95">
        <f>1450000/1000</f>
        <v>1450</v>
      </c>
      <c r="G168" s="95">
        <v>0</v>
      </c>
      <c r="H168" s="95">
        <v>0</v>
      </c>
      <c r="I168" s="95">
        <v>0</v>
      </c>
    </row>
    <row r="169" spans="1:9" s="2" customFormat="1" ht="38.25" customHeight="1">
      <c r="A169" s="11" t="s">
        <v>1141</v>
      </c>
      <c r="B169" s="12"/>
      <c r="C169" s="23"/>
      <c r="D169" s="95">
        <v>0</v>
      </c>
      <c r="E169" s="95">
        <v>0</v>
      </c>
      <c r="F169" s="95">
        <f>28200000/1000</f>
        <v>28200</v>
      </c>
      <c r="G169" s="95">
        <v>0</v>
      </c>
      <c r="H169" s="95">
        <v>0</v>
      </c>
      <c r="I169" s="95">
        <v>0</v>
      </c>
    </row>
    <row r="170" spans="1:9" s="2" customFormat="1" ht="15" customHeight="1">
      <c r="A170" s="133" t="s">
        <v>1152</v>
      </c>
      <c r="B170" s="12"/>
      <c r="C170" s="23"/>
      <c r="D170" s="143">
        <v>0</v>
      </c>
      <c r="E170" s="143">
        <v>0</v>
      </c>
      <c r="F170" s="95">
        <f>7500/1000</f>
        <v>7.5</v>
      </c>
      <c r="G170" s="95">
        <v>0</v>
      </c>
      <c r="H170" s="95">
        <v>0</v>
      </c>
      <c r="I170" s="95">
        <v>0</v>
      </c>
    </row>
    <row r="171" spans="1:9" s="2" customFormat="1" ht="15" customHeight="1">
      <c r="A171" s="133" t="s">
        <v>1153</v>
      </c>
      <c r="B171" s="12"/>
      <c r="C171" s="23"/>
      <c r="D171" s="143">
        <v>0</v>
      </c>
      <c r="E171" s="143">
        <v>0</v>
      </c>
      <c r="F171" s="95">
        <f>25000/1000</f>
        <v>25</v>
      </c>
      <c r="G171" s="95">
        <v>0</v>
      </c>
      <c r="H171" s="95">
        <v>0</v>
      </c>
      <c r="I171" s="95">
        <v>0</v>
      </c>
    </row>
    <row r="172" spans="1:9" s="2" customFormat="1" ht="38.25" customHeight="1">
      <c r="A172" s="133" t="s">
        <v>1155</v>
      </c>
      <c r="B172" s="12"/>
      <c r="C172" s="23"/>
      <c r="D172" s="143">
        <v>0</v>
      </c>
      <c r="E172" s="143">
        <v>0</v>
      </c>
      <c r="F172" s="95">
        <f>1132770.54/1000</f>
        <v>1132.77054</v>
      </c>
      <c r="G172" s="95">
        <v>0</v>
      </c>
      <c r="H172" s="95">
        <v>0</v>
      </c>
      <c r="I172" s="95">
        <v>0</v>
      </c>
    </row>
    <row r="173" spans="1:9" s="2" customFormat="1" ht="64.5" customHeight="1">
      <c r="A173" s="133" t="s">
        <v>1154</v>
      </c>
      <c r="B173" s="12"/>
      <c r="C173" s="23"/>
      <c r="D173" s="143">
        <v>0</v>
      </c>
      <c r="E173" s="143">
        <v>0</v>
      </c>
      <c r="F173" s="95">
        <f>29110740/1000</f>
        <v>29110.74</v>
      </c>
      <c r="G173" s="95">
        <v>0</v>
      </c>
      <c r="H173" s="95">
        <v>0</v>
      </c>
      <c r="I173" s="95">
        <v>0</v>
      </c>
    </row>
    <row r="174" spans="1:9" s="2" customFormat="1" ht="50.25" customHeight="1">
      <c r="A174" s="133" t="s">
        <v>1156</v>
      </c>
      <c r="B174" s="12"/>
      <c r="C174" s="23"/>
      <c r="D174" s="143">
        <v>0</v>
      </c>
      <c r="E174" s="143">
        <v>0</v>
      </c>
      <c r="F174" s="95">
        <f>1600000/1000</f>
        <v>1600</v>
      </c>
      <c r="G174" s="95">
        <v>0</v>
      </c>
      <c r="H174" s="95">
        <v>0</v>
      </c>
      <c r="I174" s="95">
        <v>0</v>
      </c>
    </row>
    <row r="175" spans="1:10" s="2" customFormat="1" ht="27.75" customHeight="1">
      <c r="A175" s="133" t="s">
        <v>1157</v>
      </c>
      <c r="B175" s="12"/>
      <c r="C175" s="23"/>
      <c r="D175" s="143">
        <v>0</v>
      </c>
      <c r="E175" s="143">
        <v>0</v>
      </c>
      <c r="F175" s="95">
        <f>98500/1000</f>
        <v>98.5</v>
      </c>
      <c r="G175" s="95">
        <v>0</v>
      </c>
      <c r="H175" s="95">
        <v>0</v>
      </c>
      <c r="I175" s="95">
        <v>0</v>
      </c>
      <c r="J175" s="131"/>
    </row>
    <row r="176" spans="1:10" s="130" customFormat="1" ht="66.75" customHeight="1">
      <c r="A176" s="129" t="s">
        <v>1182</v>
      </c>
      <c r="B176" s="138"/>
      <c r="C176" s="139"/>
      <c r="D176" s="143">
        <v>0</v>
      </c>
      <c r="E176" s="143">
        <v>0</v>
      </c>
      <c r="F176" s="143">
        <v>0</v>
      </c>
      <c r="G176" s="143">
        <v>47000</v>
      </c>
      <c r="H176" s="143">
        <v>0</v>
      </c>
      <c r="I176" s="143">
        <v>0</v>
      </c>
      <c r="J176" s="132"/>
    </row>
    <row r="177" spans="1:10" s="130" customFormat="1" ht="64.5" customHeight="1">
      <c r="A177" s="129" t="s">
        <v>1183</v>
      </c>
      <c r="B177" s="138"/>
      <c r="C177" s="139"/>
      <c r="D177" s="143">
        <v>0</v>
      </c>
      <c r="E177" s="143">
        <v>0</v>
      </c>
      <c r="F177" s="143">
        <v>0</v>
      </c>
      <c r="G177" s="143">
        <v>3000</v>
      </c>
      <c r="H177" s="143">
        <v>3000</v>
      </c>
      <c r="I177" s="143">
        <v>3000</v>
      </c>
      <c r="J177" s="132"/>
    </row>
    <row r="178" spans="1:9" s="2" customFormat="1" ht="25.5" customHeight="1">
      <c r="A178" s="11" t="s">
        <v>1026</v>
      </c>
      <c r="B178" s="12"/>
      <c r="C178" s="23"/>
      <c r="D178" s="95">
        <v>0</v>
      </c>
      <c r="E178" s="95">
        <v>0</v>
      </c>
      <c r="F178" s="95">
        <f>16174600/1000</f>
        <v>16174.6</v>
      </c>
      <c r="G178" s="95">
        <v>20999.1</v>
      </c>
      <c r="H178" s="95">
        <v>22238</v>
      </c>
      <c r="I178" s="95">
        <v>23394.4</v>
      </c>
    </row>
    <row r="179" spans="1:9" s="2" customFormat="1" ht="12.75">
      <c r="A179" s="19" t="s">
        <v>446</v>
      </c>
      <c r="B179" s="19"/>
      <c r="C179" s="23" t="e">
        <f>C2+C3+C5+C9+#REF!+#REF!+#REF!+#REF!+#REF!+#REF!+#REF!+#REF!+#REF!+#REF!+#REF!+#REF!+#REF!+#REF!+#REF!+#REF!+C22+#REF!+#REF!+#REF!+#REF!+#REF!+#REF!+#REF!+#REF!+#REF!+#REF!+#REF!+#REF!+#REF!+#REF!+#REF!+#REF!+#REF!+#REF!+#REF!+#REF!+#REF!+#REF!+#REF!+#REF!+#REF!+#REF!+#REF!+#REF!+#REF!+#REF!+#REF!+#REF!+#REF!+C23+#REF!+#REF!+#REF!+#REF!+#REF!+#REF!+#REF!+#REF!</f>
        <v>#VALUE!</v>
      </c>
      <c r="D179" s="95">
        <f>SUM(D4:D86)</f>
        <v>103339.11184</v>
      </c>
      <c r="E179" s="95">
        <f>SUM(E4:E86)</f>
        <v>99975.77597</v>
      </c>
      <c r="F179" s="95">
        <f>SUM(F4:F178)</f>
        <v>187766.43386999998</v>
      </c>
      <c r="G179" s="95">
        <f>SUM(G4:G178)</f>
        <v>142519.9</v>
      </c>
      <c r="H179" s="95">
        <f>SUM(H4:H178)</f>
        <v>100001.20000000001</v>
      </c>
      <c r="I179" s="95">
        <f>SUM(I4:I178)</f>
        <v>101849.5</v>
      </c>
    </row>
    <row r="180" spans="4:5" ht="12.75">
      <c r="D180" s="141"/>
      <c r="E180" s="141"/>
    </row>
    <row r="181" spans="4:6" ht="12.75">
      <c r="D181" s="141"/>
      <c r="E181" s="141"/>
      <c r="F181" s="141"/>
    </row>
    <row r="182" spans="4:6" ht="12.75">
      <c r="D182" s="141"/>
      <c r="E182" s="141"/>
      <c r="F182" s="141"/>
    </row>
    <row r="183" spans="4:6" ht="12.75">
      <c r="D183" s="141"/>
      <c r="E183" s="141"/>
      <c r="F183" s="141"/>
    </row>
    <row r="184" ht="12.75">
      <c r="F184" s="141"/>
    </row>
    <row r="186" spans="5:6" ht="12.75">
      <c r="E186" s="141"/>
      <c r="F186" s="141"/>
    </row>
  </sheetData>
  <sheetProtection/>
  <autoFilter ref="A3:G179">
    <sortState ref="A4:G186">
      <sortCondition sortBy="value" ref="D4:D186"/>
    </sortState>
  </autoFilter>
  <mergeCells count="7">
    <mergeCell ref="I2:I3"/>
    <mergeCell ref="H2:H3"/>
    <mergeCell ref="A1:H1"/>
    <mergeCell ref="D2:E2"/>
    <mergeCell ref="F2:F3"/>
    <mergeCell ref="G2:G3"/>
    <mergeCell ref="A2:A3"/>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D9:E10">
      <formula1>-100000000000</formula1>
    </dataValidation>
  </dataValidations>
  <printOptions/>
  <pageMargins left="0.5905511811023623" right="0" top="0.7874015748031497" bottom="0.5905511811023623"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Kontora</cp:lastModifiedBy>
  <cp:lastPrinted>2012-01-18T05:02:57Z</cp:lastPrinted>
  <dcterms:created xsi:type="dcterms:W3CDTF">2007-09-24T09:40:27Z</dcterms:created>
  <dcterms:modified xsi:type="dcterms:W3CDTF">2012-05-31T04:14:21Z</dcterms:modified>
  <cp:category/>
  <cp:version/>
  <cp:contentType/>
  <cp:contentStatus/>
</cp:coreProperties>
</file>