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tabRatio="570" activeTab="0"/>
  </bookViews>
  <sheets>
    <sheet name="Район на 01.05.2013" sheetId="1" r:id="rId1"/>
    <sheet name="Казначейство на 01.05.2013" sheetId="2" r:id="rId2"/>
  </sheets>
  <definedNames>
    <definedName name="_xlnm._FilterDatabase" localSheetId="1" hidden="1">'Казначейство на 01.05.2013'!$A$4:$H$249</definedName>
    <definedName name="_xlnm._FilterDatabase" localSheetId="0" hidden="1">'Район на 01.05.2013'!$A$4:$Q$404</definedName>
  </definedNames>
  <calcPr fullCalcOnLoad="1"/>
</workbook>
</file>

<file path=xl/sharedStrings.xml><?xml version="1.0" encoding="utf-8"?>
<sst xmlns="http://schemas.openxmlformats.org/spreadsheetml/2006/main" count="3310" uniqueCount="1288">
  <si>
    <t>2.1.</t>
  </si>
  <si>
    <t>Расходы на реализацию мер по улучшению жилищных условий граждан, проживающих в сельской местности</t>
  </si>
  <si>
    <t>Расходы на оплату членских взносов Ассоциации "Совет муниципальных образований Томской области"</t>
  </si>
  <si>
    <t>01.01.2010, не установлен</t>
  </si>
  <si>
    <t>0709</t>
  </si>
  <si>
    <t>Гл.3, ст.15</t>
  </si>
  <si>
    <t xml:space="preserve">О компенсации расходов на питание учащимся из малообеспеченных семей </t>
  </si>
  <si>
    <t>п.1-3</t>
  </si>
  <si>
    <t>2.1.10.</t>
  </si>
  <si>
    <t>владение, пользование и распоряжение имуществом, находящимся в муниципальной собственности муниципального района</t>
  </si>
  <si>
    <t>Расходы на организацию и содержание мест захоронения отходов</t>
  </si>
  <si>
    <t>0503</t>
  </si>
  <si>
    <t>0702</t>
  </si>
  <si>
    <t>2.1.30.</t>
  </si>
  <si>
    <t>Решение Думы Колпашевского района от 28.02.2006 № 82 "О вступлении в Совет Муниципальных образований Томской области" (в редакции от 22.12.2006 № 255, от 26.02.2010 № 814 )</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</si>
  <si>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</si>
  <si>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2.1.6.</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</si>
  <si>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</si>
  <si>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</si>
  <si>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 xml:space="preserve">п.2-4 Положения </t>
  </si>
  <si>
    <t xml:space="preserve">01.01.2006, не установлен </t>
  </si>
  <si>
    <t xml:space="preserve">п.3-4 Порядка </t>
  </si>
  <si>
    <t>Решение Думы Колпашевского района от 14.07.2006 № 176 "О финансировании расходов, связанных с размещением заказа на поставку товаров, выполнение работ и оказание услуг для муниципальных нужд" (в редакции от 28.04.2008 № 467)</t>
  </si>
  <si>
    <t>формирование, утверждение, исполнение бюджета муниципального района, контроль за исполнением данного бюджета</t>
  </si>
  <si>
    <t>31.10.2006, не установлен</t>
  </si>
  <si>
    <t>2.1.1.</t>
  </si>
  <si>
    <t>08.05.2006, вводиться ежегодно ЗТО "Об областном бюджете на очередной финансовый год"</t>
  </si>
  <si>
    <t>01.01.2006, не установлен</t>
  </si>
  <si>
    <t>Федеральный Закон от 06.10.2003 № 131-ФЗ "Об общих принципах организации местного самоуправления"</t>
  </si>
  <si>
    <t>16.10.2003, не установлен</t>
  </si>
  <si>
    <t>2.1.19.</t>
  </si>
  <si>
    <t>2.1.7.</t>
  </si>
  <si>
    <t>п.1-3 Положения</t>
  </si>
  <si>
    <t>гр.17</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</si>
  <si>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</si>
  <si>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Закон РФ от 19 февраля 1993 г. N 4520-I "О государственных гарантиях и компенсациях для лиц, работающих и проживающих в районах Крайнего Севера и приравненных к ним местностях"</t>
  </si>
  <si>
    <t>2.1.8.</t>
  </si>
  <si>
    <t>вводиться ежегодно ЗТО "Об областном бюджете на очередной финансовый год"</t>
  </si>
  <si>
    <t>Расходы на проведение мероприятий для детей и молодежи</t>
  </si>
  <si>
    <t>2.4.</t>
  </si>
  <si>
    <t>2.1.24.</t>
  </si>
  <si>
    <t>Гл.3, ст.15, п.1, п.п.7</t>
  </si>
  <si>
    <t>Гл.3, ст.15, п.1, п.п.12</t>
  </si>
  <si>
    <t>Гл.3, ст.15, п.1, п.п.26</t>
  </si>
  <si>
    <t>Гл.3, ст.15, п.1, п.п.27</t>
  </si>
  <si>
    <t>2.1.35.</t>
  </si>
  <si>
    <t>Расходы на предоставление субсидий некоммерческим организациям, не являющимися бюджетными учреждениями</t>
  </si>
  <si>
    <t>Решение Думы Колпашевского района от 26.12.2007 № 401 "О порядке расходования средств местного бюджета на финансирование проведения муниципальных выборов"</t>
  </si>
  <si>
    <t>2.1.33.</t>
  </si>
  <si>
    <t>01.01.2006 вводится в действие ежегодно</t>
  </si>
  <si>
    <t>ст. 31</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</si>
  <si>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</si>
  <si>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</si>
  <si>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Закон Томской области от 12 января 2007 г. N 29-ОЗ "О референдуме Томской области и местном референдуме"</t>
  </si>
  <si>
    <t>29.01.2007, не установлен</t>
  </si>
  <si>
    <t>2.1.23.</t>
  </si>
  <si>
    <t xml:space="preserve">Субсидия на комплектование книжных фондов библиотек муниципальных образований </t>
  </si>
  <si>
    <t>п.5-6</t>
  </si>
  <si>
    <t xml:space="preserve">Федеральный Закон от 06.10.2003 № 131-ФЗ "Об общих принципах организации местного самоуправления";
</t>
  </si>
  <si>
    <t xml:space="preserve">16.10.2003, не установлен; </t>
  </si>
  <si>
    <t xml:space="preserve">Гл.3, ст.15, п.1, п.п.11       </t>
  </si>
  <si>
    <t>Ст. 31</t>
  </si>
  <si>
    <t>п.1-2</t>
  </si>
  <si>
    <t>Решение Думы Колпашевского района от 08.10.2005 № 418 "Об утверждении положений " (Приложение 1)</t>
  </si>
  <si>
    <t>Решение Думы Колпашевского района от 10.12.2005 № 35 "Об утверждении Положения о порядке официального опубликования (обнародования) муниципальных правовых актов и иной официальной информации"</t>
  </si>
  <si>
    <t>Гл. 6- 9 Положения</t>
  </si>
  <si>
    <t>ст. 2-4</t>
  </si>
  <si>
    <t>01.05.2006 вводиться в действие ежегодно</t>
  </si>
  <si>
    <t>Постановление Правительства РФ от 7 марта 1995 г. N 239 "О мерах по упорядочению государственного регулирования цен (тарифов)"</t>
  </si>
  <si>
    <t>п. 1 абз. 4</t>
  </si>
  <si>
    <t>16.03.1995, не установлен</t>
  </si>
  <si>
    <t>ст. 2-5</t>
  </si>
  <si>
    <t>гр.13</t>
  </si>
  <si>
    <t>гр.14</t>
  </si>
  <si>
    <t>гр.15</t>
  </si>
  <si>
    <t>01.01.2007, не установлен</t>
  </si>
  <si>
    <t>Физкультурно - оздоровительная работа и спортивные мероприятия</t>
  </si>
  <si>
    <t>п. 1-2</t>
  </si>
  <si>
    <t>Расходы на стимулирующие выплаты за высокие результаты и качество выполняемых работ в муниципальных общеобразовательных учреждениях за счёт средств межбюджетных трансфертов из областного бюджета</t>
  </si>
  <si>
    <t xml:space="preserve">Решение Думы Колпашевского района от 08.10.2005 № 418 "Об утверждении  положений" (Приложение 1) </t>
  </si>
  <si>
    <t>28.02.2006, не установлен</t>
  </si>
  <si>
    <t>2.1.37.</t>
  </si>
  <si>
    <t>Гл.3, ст.15, п.1, п.п.5</t>
  </si>
  <si>
    <t>организация мероприятий межпоселенческого характера по охране окружающей среды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</si>
  <si>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</si>
  <si>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п. 1-5</t>
  </si>
  <si>
    <t>формирование и содержание муниципального архива, включая хранение архивных фондов поселений</t>
  </si>
  <si>
    <t>2.1.4.</t>
  </si>
  <si>
    <t>2.1.18.</t>
  </si>
  <si>
    <t>Мероприятия по организации оздоровительной компании</t>
  </si>
  <si>
    <t>гр.3</t>
  </si>
  <si>
    <t>гр.4</t>
  </si>
  <si>
    <t>гр.5</t>
  </si>
  <si>
    <t>гр.6</t>
  </si>
  <si>
    <t>гр.7</t>
  </si>
  <si>
    <t>гр.8</t>
  </si>
  <si>
    <t>гр.9</t>
  </si>
  <si>
    <t>гр.10</t>
  </si>
  <si>
    <t>гр.11</t>
  </si>
  <si>
    <t>гр.12</t>
  </si>
  <si>
    <t>Организация предоставления общедоступного и бесплатного начального общего, основного общего, среднего (полного) общего образования на территории муниципального образования "Колпашевский район"</t>
  </si>
  <si>
    <t>0901</t>
  </si>
  <si>
    <t>Расходы на содержание МУ "Агентство по управлению муниципальным имуществом и размещению муниципального заказа"</t>
  </si>
  <si>
    <t>п. 1-3</t>
  </si>
  <si>
    <t>29.02.1993, не установлен</t>
  </si>
  <si>
    <t>ст. 5</t>
  </si>
  <si>
    <t xml:space="preserve">п. 2-4 Положения  </t>
  </si>
  <si>
    <t>Организация предоставления дополнительного образования на территории муниципального района</t>
  </si>
  <si>
    <t>2.1.31.</t>
  </si>
  <si>
    <t>организация и осуществление мероприятий межпоселенческого характера по работе с детьми и молодежью</t>
  </si>
  <si>
    <t>Субсидии на государственную поддержку малого предпринимательства включая крестьянские (фермерские) хозяйства</t>
  </si>
  <si>
    <t>0102</t>
  </si>
  <si>
    <t>2.1.2.</t>
  </si>
  <si>
    <t>01.01.2008, не установлен</t>
  </si>
  <si>
    <t>2.1.34.</t>
  </si>
  <si>
    <t>2.1.22.</t>
  </si>
  <si>
    <t>0105</t>
  </si>
  <si>
    <t>2.1.25.</t>
  </si>
  <si>
    <t>2.1.12.</t>
  </si>
  <si>
    <t>2.1.28.</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</si>
  <si>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</si>
  <si>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</si>
  <si>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</si>
  <si>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2.1.27.</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</si>
  <si>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</si>
  <si>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</si>
  <si>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Расходы на осуществление казначейского исполнения бюджета</t>
  </si>
  <si>
    <t>Решение Думы Колпашевского района от 14.09.2005 № 401 "О расходах на осуществление казначейского исполнения бюджета муниципального образования "Колпашевский район" (в редакции от 29.06.06 № 164)</t>
  </si>
  <si>
    <t>2.2.</t>
  </si>
  <si>
    <t>ст. 1-2</t>
  </si>
  <si>
    <t>0107</t>
  </si>
  <si>
    <t>0502</t>
  </si>
  <si>
    <t>0408</t>
  </si>
  <si>
    <t>0902</t>
  </si>
  <si>
    <t>0707</t>
  </si>
  <si>
    <t>0309</t>
  </si>
  <si>
    <t>0405</t>
  </si>
  <si>
    <t>Расходы, связанные с организацией операций с муниципальным имуществом</t>
  </si>
  <si>
    <t>ст.15.1, п.2</t>
  </si>
  <si>
    <t>Код  бюджетной классификации (Рз, Прз)</t>
  </si>
  <si>
    <t>01.07.2007, не установлен</t>
  </si>
  <si>
    <t>Расходы на сопровождение сайта по ведению реестра закупок, реестра контрактов, а также осуществление функций по размещению заказа путем проведения торгов</t>
  </si>
  <si>
    <t xml:space="preserve">Закон Томской области от 14 августа 2007 г. N 170-ОЗ "О межбюджетных отношениях в Томской области" </t>
  </si>
  <si>
    <t>ст. 15</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</si>
  <si>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</si>
  <si>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п. 7-9 Положения</t>
  </si>
  <si>
    <t>ст. 55</t>
  </si>
  <si>
    <t>ст. 35</t>
  </si>
  <si>
    <t>01.01.2002, не установлен</t>
  </si>
  <si>
    <t>п. 2-3 Положения</t>
  </si>
  <si>
    <t>Решение Думы Колпашевского района от 10.12.2005 № 31 "Об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t>
  </si>
  <si>
    <t>п. 4-6 Положения</t>
  </si>
  <si>
    <t>Закон Томской области от 28.12.2007 №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</si>
  <si>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01.01.2008, вводится ежегодно ЗТО об областном бюджете на очередной финансовый год</t>
  </si>
  <si>
    <t>Федеральный закон от 12 июня 2002 г. N 67-ФЗ "Об основных гарантиях избирательных прав и права на участие в референдуме граждан Российской Федерации"</t>
  </si>
  <si>
    <t>Решение Думы Колпашевского района от 31.10.2006 № 222 "Об утверждении положения о присвоении звания "Человек года" на территории муниципального образования "Колпашевский район"</t>
  </si>
  <si>
    <t>0801</t>
  </si>
  <si>
    <t>2.3.</t>
  </si>
  <si>
    <t>Решение Думы Колпашевского района от 10.12.05 № 30 "Об утверждении Положения о порядке назначения, выплаты денежной компенсации на приобретение книгоиздательской продукции и периодических изданий педагогическим и руководящим работникам муниципальных образований"</t>
  </si>
  <si>
    <t>01.01.2010. не установлен</t>
  </si>
  <si>
    <t xml:space="preserve">Закон Томской области от 12 ноября 2001 г. N 119-ОЗ "Об образовании в Томской области" </t>
  </si>
  <si>
    <t>Мероприятия в области сельскохозяйственного производства</t>
  </si>
  <si>
    <t xml:space="preserve">п. 2-5 Положения,      </t>
  </si>
  <si>
    <t>30.03.2007, не установлен</t>
  </si>
  <si>
    <t>ст. 17</t>
  </si>
  <si>
    <t>участие в предупреждении и ликвидации последствий чрезвычайных ситуаций на территории муниципального района</t>
  </si>
  <si>
    <t>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t>
  </si>
  <si>
    <t>Решение думы Колпашевского района от 21.09.2009 № 701 "Об использовании средств местного бюджета на компенсацию транспортных расходов обучающихся в МОУ "Мараксинская ООШ" муниципального образования "Колпашевский район"</t>
  </si>
  <si>
    <t>21.09.2009, не установлен</t>
  </si>
  <si>
    <t>Расходы для финансового обеспечения переданных полномочий по составлению (изменению и дополнению) списков кандидатов в присяжные заседатели федеральных судов общей юрисдикции в РФ</t>
  </si>
  <si>
    <t>содержание на территории муниципального района межпоселенческих мест захоронения, организация ритуальных услуг</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</si>
  <si>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</si>
  <si>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</si>
  <si>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п. 1</t>
  </si>
  <si>
    <t>01.01.2005, не установлен</t>
  </si>
  <si>
    <t>01.07.2010, до окнчания срока действия ЗТО от 28.12.2007 № 298-ОЗ</t>
  </si>
  <si>
    <t>Расходы на содержание аппарата Администрации Колпашевского района</t>
  </si>
  <si>
    <t>0104</t>
  </si>
  <si>
    <t>п. 1-4</t>
  </si>
  <si>
    <t>01.01.2008, вводиться ежегодно ЗТО "Об областном бюджете на очередной финансовый год"</t>
  </si>
  <si>
    <t>ст. 3,6</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</si>
  <si>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</si>
  <si>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ст. 8</t>
  </si>
  <si>
    <t>27.12.1998, не установлен</t>
  </si>
  <si>
    <t>1004</t>
  </si>
  <si>
    <t>п.2-4 Положения             п.1</t>
  </si>
  <si>
    <t>01.01.2006, не установлен            01.01.2009, не установлен</t>
  </si>
  <si>
    <t>2.1.9.</t>
  </si>
  <si>
    <t>п. 4-7</t>
  </si>
  <si>
    <t>вводиться в действие ежегодно</t>
  </si>
  <si>
    <t>ст. 11, п. 1</t>
  </si>
  <si>
    <t>п.1-6</t>
  </si>
  <si>
    <t>Наименование вопроса местного значения, расходного обязательства</t>
  </si>
  <si>
    <t>установление, изменение и отмена местных налогов и сборов муниципального района</t>
  </si>
  <si>
    <t>организация утилизации и переработки бытовых и промышленных отходов</t>
  </si>
  <si>
    <t>2.1.32.</t>
  </si>
  <si>
    <t>01.07.2010- до окончания срока действия ЗТО от 07.07.2009 № 104-ОЗ</t>
  </si>
  <si>
    <t xml:space="preserve">01.07.2010, до окончания срока действия ЗТО от 11.09.2007 № 188-ОЗ </t>
  </si>
  <si>
    <t>Расходы на организацию отдыха детей в каникулярное время за счёт средств субсидии из областного бюджета</t>
  </si>
  <si>
    <t>Организация предоставления дошкольного образования</t>
  </si>
  <si>
    <t>0701</t>
  </si>
  <si>
    <t>0412</t>
  </si>
  <si>
    <t>01.01.2002, не указан</t>
  </si>
  <si>
    <t>фактически исполнено</t>
  </si>
  <si>
    <t>гр.0</t>
  </si>
  <si>
    <t>гр.2</t>
  </si>
  <si>
    <t>Номер статьи, части, пункта, подпункта, абзаца</t>
  </si>
  <si>
    <t>Дата вступления в силу и срок действия</t>
  </si>
  <si>
    <t>запланировано</t>
  </si>
  <si>
    <t>финансирование расходов на содержание органов местного самоуправления муниципальных районов</t>
  </si>
  <si>
    <t>2.1.17.</t>
  </si>
  <si>
    <t>2.1.15.</t>
  </si>
  <si>
    <t>2.1.38.</t>
  </si>
  <si>
    <t>п. 3-4 Положения</t>
  </si>
  <si>
    <t>Трудовой кодекс РФ</t>
  </si>
  <si>
    <t>ст. 325,326</t>
  </si>
  <si>
    <t>ст. 33</t>
  </si>
  <si>
    <t>01.02.2002, не установлен</t>
  </si>
  <si>
    <t>14.07.2006, не установлен</t>
  </si>
  <si>
    <t>Решение Думы Колпашевского района  от 08.02.2006 № 79 "О порядке использования субвенции на выплату педагогическим работникам вознаграждения за выполнение функции классного руководителя (в редакции от 28.04.06 № 137; от 29.11.06 № 223; от  29.06.07  № 332, от 28.01.2008 № 423, от 28.01.2010 № 785)</t>
  </si>
  <si>
    <t>01.01.2006, до окончания срока действия ЗТО от 27.01.2006 № 3-ОЗ</t>
  </si>
  <si>
    <t>2.1.13.</t>
  </si>
  <si>
    <t>п.1</t>
  </si>
  <si>
    <t>ст. 9-13</t>
  </si>
  <si>
    <t>0409</t>
  </si>
  <si>
    <t xml:space="preserve">Закон Томской области от 11 сентября 2007 г. N 198-ОЗ "О муниципальной службе в Томской области" </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</si>
  <si>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</si>
  <si>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</si>
  <si>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 xml:space="preserve">Районный фонд финансовой поддержки поселений в части собственных средств </t>
  </si>
  <si>
    <t xml:space="preserve">28.04.2008, не установлен </t>
  </si>
  <si>
    <t>06.03.2006, не установлен</t>
  </si>
  <si>
    <t>0903</t>
  </si>
  <si>
    <t>0904</t>
  </si>
  <si>
    <t xml:space="preserve">Расходы на реализацию районной целевой программы  "Поддержка и развитие малого и среднего предпринимательства  в МО "Колпашевский район"на 2008-2012 годы" </t>
  </si>
  <si>
    <t>Расходы на осуществление государственных полномочий по обеспечению жилыми помещениями детей - сирот и детей, оставшихся без попечения родителей, а также лиц из их числа, не имеющих закрепленного жилого помещения, за счет средств субвенции из областного бюджета</t>
  </si>
  <si>
    <t>Предупреждение и ликвидация последствий чрезвычайных ситуаций и стихийных бедствий природного и техногенного характера</t>
  </si>
  <si>
    <t>Подготовка населения и организация к действиям в чрезвычайной ситуации в мирное и военное время</t>
  </si>
  <si>
    <t>Расходы на обеспечение условий для развития физической культуры и массового спорта, за счет субсидии из областного бюджета</t>
  </si>
  <si>
    <t>Расходы на выплату вознаграждения гражданам, удостоенным звания "Человек года" на территории МО "Колпашевский район"</t>
  </si>
  <si>
    <t>Расходы на выплату вознаграждения гражданам, удостоенным звания "Почетный житель Колпашевского района"</t>
  </si>
  <si>
    <t>15.05.2008-31.12.2012</t>
  </si>
  <si>
    <t xml:space="preserve">Закон Томской области от 14 мая 2005 г. N 78-ОЗ "О гарантиях и компенсациях за счет средств областного бюджета для лиц, проживающих в местностях, приравненных к районам Крайнего Севера" </t>
  </si>
  <si>
    <t>п 4.1 - 6.1 Положения</t>
  </si>
  <si>
    <t>Расходы на ремонт муниципальных объектов социальной сферы, закреплённых на праве оперативного управления за муниципальными учреждениями культуры, здравоохранения, образования, за счёт средств местного бюджета</t>
  </si>
  <si>
    <t>Закон РФ от 10 июля 1992 г. N 3266-1 "Об образовании"</t>
  </si>
  <si>
    <t>ст. 51</t>
  </si>
  <si>
    <t>Гл.3, ст.15, п.1, п.п.11</t>
  </si>
  <si>
    <t>2.1.3.</t>
  </si>
  <si>
    <t>ст. 4-5</t>
  </si>
  <si>
    <t>Расходы на организацию проведения районных мероприятий в сфере образования</t>
  </si>
  <si>
    <t>01.07.2010, до окончания срока действия ЗТО от 24.11.2009 № 261-ОЗ</t>
  </si>
  <si>
    <t>2.</t>
  </si>
  <si>
    <t>Расходные обязательства муниципальных районов</t>
  </si>
  <si>
    <t>2.1.11.</t>
  </si>
  <si>
    <t>организация в границах муниципального района электро- и газоснабжения поселений</t>
  </si>
  <si>
    <t>Расходы на содержание аппарата УФЭП</t>
  </si>
  <si>
    <t>0106</t>
  </si>
  <si>
    <t>Резервный фонд местной администрации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</si>
  <si>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</si>
  <si>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Решение Думы Колпашевского района от 28.12.2005 № 50 "Об утверждении Положения о муниципальном архиве Колпашевского района"</t>
  </si>
  <si>
    <t>2.1.16.</t>
  </si>
  <si>
    <t>организация охраны общественного порядка на территории муниципального района муниципальной милицией</t>
  </si>
  <si>
    <t>2.1.21.</t>
  </si>
  <si>
    <t>01.07.2010, до окончания срока действия ЗТО от 29.12.2005 № 248-ОЗ</t>
  </si>
  <si>
    <t xml:space="preserve">01.07.2010- до окончания срока действия ЗТО от 15.12.2004 № 246-ОЗ </t>
  </si>
  <si>
    <t>01.08.2009, не установлен</t>
  </si>
  <si>
    <t>Осуществление деятельности и обеспечение руководства в сфере образования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</si>
  <si>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</si>
  <si>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Расходы на содержание Думы Колпашевского района</t>
  </si>
  <si>
    <t>0103</t>
  </si>
  <si>
    <t>0406</t>
  </si>
  <si>
    <t>1003</t>
  </si>
  <si>
    <t>01.06.2006, не установлен</t>
  </si>
  <si>
    <t>п.1-4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</si>
  <si>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</si>
  <si>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Гл. 4, ст. 11, п.1-2 Положения</t>
  </si>
  <si>
    <t>Расходы на реализацию долгосрочной целевой программы "Здоровый ребенок" на 2011-2013 годы"</t>
  </si>
  <si>
    <t>Расходы на обслуживание навигационным ограждением судового хода пассажирских линий</t>
  </si>
  <si>
    <t>0113</t>
  </si>
  <si>
    <t>0111</t>
  </si>
  <si>
    <t>Районный фонд финансовой поддержки поселений в части исполнения государственных полномочий по расчету и предоставлению дотаций поселениям</t>
  </si>
  <si>
    <t>Иные межбюджетные трансферты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 за счет средств субсидии</t>
  </si>
  <si>
    <t>Иные межбюджетные трансферты на обеспечение условий для развития физической культуры и массового спорта за счет средств субсидии</t>
  </si>
  <si>
    <t>Иные межбюджетные трансферты на компенсацию расходов по организации электроснабжения от дизельных электростанций за счет средств субсидии</t>
  </si>
  <si>
    <t>Иные межбюджетные трансферты на создание условий для управления многоквартирными домами  за счет средств субсидии</t>
  </si>
  <si>
    <t>Расходы на реализацию долгосрочной целевой программы "Предоставление молодым семьям государственной поддержки на приобретение (строительство) жилья на территории Колпашевского района на 2011-2015 годы"</t>
  </si>
  <si>
    <t>1401</t>
  </si>
  <si>
    <t xml:space="preserve">Расзходы на оплату потребления бюджетными учреждениями Колпашевского района электроэнергии, вырабатываемой дизельными электростанциями, по тарифам, свыше тарифов, установленных для централизованного электроснабжения </t>
  </si>
  <si>
    <t>Расходы на осуществление отдельных государственных полномочий по воспитанию и обучению детей -инвалидов в муниципальных дошкольных образовательных учреждениях за счет средств субвенции из областного бюджета</t>
  </si>
  <si>
    <t>Расходы на проведение работ по эксплуатации гидротехнических сооружений</t>
  </si>
  <si>
    <t>Решение думы Колпашевского района от 06.03.2006 № 118 "Об утверждении органа, уполномоченного на осуществление функций по размещению заказов для муниципальных заказчиков, органа, уполномоченного на осуществление контроля в сфере размещения муниципальных заказов, органа,  уполномоченного на ведение реестра муниципальных контрактов и Положения о порядке взаимодействия органа, уполномоченного на осуществление функций по размещению заказов для муниципальных заказчиков муниципального образования "Колпашевский район" и муниципальных заказчиков" (в редакции от 25.12.2009 № 763)</t>
  </si>
  <si>
    <t>Расходы на осуществление отдельных государственных полномочий по созданию и обеспечению деятельности комиссии по делам несовершеннолетних и защите их  прав, за счет средств субвенции из областного бюджета</t>
  </si>
  <si>
    <t>Расходы на осуществление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районнов Крайнего Севера и приравненных к ним местностей, за счет средств субвенции из областного бюджета</t>
  </si>
  <si>
    <t>01.07.2010, до окончания действия ЗТО от 08.09.2009 № 173-ОЗ</t>
  </si>
  <si>
    <t>Расходы на осуществление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</si>
  <si>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01.07.2010, до окончания действия ЗТО от 14.10.2005 № 191-ОЗ</t>
  </si>
  <si>
    <t>Расходы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за счет средств субвенции из областного бюджета</t>
  </si>
  <si>
    <t>Расходы на осуществление отдельных государственных полномочий на обеспечение одеждой, обувью, мягким инвентарем, оборудованием и единовременным денежным пособием детей -сирот и детей, оставшихся без попечения родителей,  а также лиц из числа детей- 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т.д., за счет средств субвенции из областного бюджета</t>
  </si>
  <si>
    <t>Расходы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 за счет средств субвенции из областого бюджета</t>
  </si>
  <si>
    <t>01.07.2010, до окончания срока действия ЗТО от 10.11.2006 № 261-ОЗ</t>
  </si>
  <si>
    <t>Расходы на осуществление отдельных государственных полномочий по организации и осуществлению деятельности по опеке и попечительчтву в Томской области, за счет средств субвенции из областного бюджета</t>
  </si>
  <si>
    <t>п.1.3.</t>
  </si>
  <si>
    <t>Расходы на осуществление отдельных государственных полномочий по осуществлении денежных выплат медецинскому персоналу фельдшерско - акушерских пунктов, врачам, фельдшерам и медецинским сестрам учреждений и подразделений скорой медецинской помощи за счет средств субвенции из областного бюджета</t>
  </si>
  <si>
    <t>Расходы на осуществление отдельных государственных полномочий по созданию и обеспечению деятельности административных комиссий в Томской области за счет средств субвенций из областного бюджета</t>
  </si>
  <si>
    <t>Расходы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за счет средств субвенции из областного бюджета</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</si>
  <si>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МОУ</t>
  </si>
  <si>
    <t>Расходы на выплату доплат к ежемесячному вознаграждению за выполнение функций классного руководителя педагогическим работникам МОУ Томской области в классах с наполняемостью свыше 25 человек, за счет средств субвенции из областного бюджета</t>
  </si>
  <si>
    <t>Расходы на выплату ежемесячного вознаграждения за выполнение функций классного руководителя педагогическим работникам МОУ, за счет средств субвенции из федерального бюджета</t>
  </si>
  <si>
    <t>01.07.2010 - до окончания срока действия ЗТО от 29.12.2007 № 320-ОЗ</t>
  </si>
  <si>
    <t>13.07.2010, не установлен</t>
  </si>
  <si>
    <t>Содержание автомобильных дорог общего пользования</t>
  </si>
  <si>
    <t>срок дейстия</t>
  </si>
  <si>
    <t>п.14</t>
  </si>
  <si>
    <t>п.4</t>
  </si>
  <si>
    <t>01.01.2011- 31.12.2015</t>
  </si>
  <si>
    <t>Постановление Администрации Колпашевского района от 14.10.2010 № 1289 "Об утверждении долгосрочной целевой программы "Здоровый ребенок" на 2011 - 2013 годы"</t>
  </si>
  <si>
    <t>01.01.2011- 31.12.2013</t>
  </si>
  <si>
    <t>Решение Думы Колпашевского района от 18.06.2009 № 668 "Об утверждении Положения об организации и осуществлении мероприятий по гражданской обороне в Колпашевском районе"</t>
  </si>
  <si>
    <t>п.18 Положения</t>
  </si>
  <si>
    <t>18.06.2009- не установлен</t>
  </si>
  <si>
    <t>Решение Думы Колпашевского района от 27.02.2007 № 297 "Об утверждении Положения о формировании, пополнении и учете районного страхового (аварийного) запаса материально-технических ресурсов для предприятий ЖКХ Колпашевского района"</t>
  </si>
  <si>
    <t>п.3 Положения</t>
  </si>
  <si>
    <t>27.02.2007- не установлен</t>
  </si>
  <si>
    <t>п.8.2.1</t>
  </si>
  <si>
    <t>01.08.2006- не ограничен</t>
  </si>
  <si>
    <t>Расходы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t>
  </si>
  <si>
    <t>2.3.1.</t>
  </si>
  <si>
    <t>2.3.2.</t>
  </si>
  <si>
    <t>2.3.3.</t>
  </si>
  <si>
    <t>Расходы на осуществление отдельных государственных полномочий по назначению и выплате единовременного пособия при передаче ребенка на воспитание в семью</t>
  </si>
  <si>
    <t>2.3.4.</t>
  </si>
  <si>
    <t>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учреждениях</t>
  </si>
  <si>
    <t>2.3.5.</t>
  </si>
  <si>
    <t>осуществление ежемесячной выплаты денежных средств приемным семьям на содержание детей и осуществление ежемесячной оплаты труда приемных родителей</t>
  </si>
  <si>
    <t>2.3.7.</t>
  </si>
  <si>
    <t>2.3.8.</t>
  </si>
  <si>
    <t>2.3.9.</t>
  </si>
  <si>
    <t>2.3.10.</t>
  </si>
  <si>
    <t>2.3.11.</t>
  </si>
  <si>
    <t>2.3.12.</t>
  </si>
  <si>
    <t>2.3.13.</t>
  </si>
  <si>
    <t>2.3.14.</t>
  </si>
  <si>
    <t>Выплата гражданам адресных субсидий на оплату жилья и коммунальных услуг</t>
  </si>
  <si>
    <t>2.3.15.</t>
  </si>
  <si>
    <t>2.3.16.</t>
  </si>
  <si>
    <t>Обеспечение предоставления субсидий гражданам на оплату жилого помещения и коммунальных услуг</t>
  </si>
  <si>
    <t>2.3.17.</t>
  </si>
  <si>
    <t>Предоставление субсидий на уплату части процентной ставки по кредитам, привлекаемым гражданами РФ, постоянно проживающими в Томской области, в российских кредитных организациях на газификацию (модернизацию системы отопления) принадлежащего им на праве собственности частного жилищного фонда</t>
  </si>
  <si>
    <t>2.3.18.</t>
  </si>
  <si>
    <t>Расчет и предоставление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t>
  </si>
  <si>
    <t>2.3.19.</t>
  </si>
  <si>
    <t>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</si>
  <si>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2.3.20.</t>
  </si>
  <si>
    <t>Предоставление гражданам субсидий на оплату жилого помещения и коммунальных услуг</t>
  </si>
  <si>
    <t>2.3.21.</t>
  </si>
  <si>
    <t>2.3.22.</t>
  </si>
  <si>
    <t>2.3.25.</t>
  </si>
  <si>
    <t>2.3.26.</t>
  </si>
  <si>
    <t>2.3.27.</t>
  </si>
  <si>
    <t>2.3.28.</t>
  </si>
  <si>
    <t>предоставление субсидий на поддержку экономически значимой региональной программы развития молочного скотоводства</t>
  </si>
  <si>
    <t>предоставление субсидий на возмещение гражданам, ведущим личное подсобное хозяйство, затрат по искусственному осеменению коров</t>
  </si>
  <si>
    <t>предоставление субсидий на возмещение затрат по внесению органических удобрений</t>
  </si>
  <si>
    <t>на осуществление управленческих функций органами местного самоуправления</t>
  </si>
  <si>
    <t>предоставление субсидий на возмещение гражданам, ведущим личное подсобное хозяйство, с/х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с/х кредитных потребительских кооперативах в 2005-2010 годах на срок до 8 лет</t>
  </si>
  <si>
    <t>расходы на содержание единой дежурно-диспетчерской службы</t>
  </si>
  <si>
    <t>Гл. 1-2 Положения</t>
  </si>
  <si>
    <t>01.01.2011-31.12.2011</t>
  </si>
  <si>
    <t>Постановление Администрации Колпашевского района от 18.02.2011 № 125 "О применении понижающих коэффициентов к нормативным расходам финансирования общеобразовательных учреждений"</t>
  </si>
  <si>
    <t>01.05.2011- 31.12.2011</t>
  </si>
  <si>
    <t>01.01.2011, не установлен</t>
  </si>
  <si>
    <t>Расходы на реализацию долгосрочной целевой программы "Медецинские кадры"  на 2011 - 2013 годы</t>
  </si>
  <si>
    <t>Иные межбюджетные трансферты на реализацию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t>
  </si>
  <si>
    <t>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от 23.08.2010 № 914, от 24.12.2010 № 32, от 18.03.2011 № 21)</t>
  </si>
  <si>
    <t>Решенин Думы Колпашевского района от 14.07.2006 № 181 "Об утверждении Положения об организации работ по содержанию и ремонту, автомобильных дорог общего пользования между населенными пунктами и дорожных сооружений вне границ населенных пунктов в границах МО "Колпашевский район" (в редакции от 17.07.2008 № 501, от 29.09.2010 № 919)</t>
  </si>
  <si>
    <t>Гл. 2-6 Положения</t>
  </si>
  <si>
    <t>01.08.2006, не установлен</t>
  </si>
  <si>
    <t>Расходы на предоставление субсидии на возмещение недополученных доходов, связвнных с предоставлением льготных услуг по перевозке речным транспортом населения</t>
  </si>
  <si>
    <t>п.1-5</t>
  </si>
  <si>
    <t>п.1.3</t>
  </si>
  <si>
    <t>Федеральный Закон от 12.01.1996 № 7-ФЗ "О некоммерческих организациях"</t>
  </si>
  <si>
    <t>24.01.1996, не установлен</t>
  </si>
  <si>
    <t>Федеральный Закон от 21.07.2005 № 94-ФЗ "О размещении заказов на поставки товаров, выполнение работ, оказание услуг для государственных и муниципальных нужд"</t>
  </si>
  <si>
    <t>ст. 4 часть 2, ст.17, 18</t>
  </si>
  <si>
    <t>Постановление Администрации Томской области от 13 мая 2010 г. N 94а "О Порядке предоставления из областного бюджета субсидий бюджетам муниципальных образований Томской области и их расходования"</t>
  </si>
  <si>
    <t>п.2 п.п3, п.17</t>
  </si>
  <si>
    <t>13.05.2010, не установлен</t>
  </si>
  <si>
    <t>ст.4</t>
  </si>
  <si>
    <t>Федеральный закон от 12.02.1998 N 28-ФЗ "О гражданской обороне"</t>
  </si>
  <si>
    <t>ст.18</t>
  </si>
  <si>
    <t>16.02.1998, не установлен</t>
  </si>
  <si>
    <t>Закон Томской области от 11.11.2005 N 206-ОЗ "О защите населения и территорий Томской области от чрезвычайных ситуаций природного и техногенного характера"</t>
  </si>
  <si>
    <t>ст.10, 11</t>
  </si>
  <si>
    <t>03.12.2005, не установлен</t>
  </si>
  <si>
    <t>Постановление Администрации Томской области от 17.08.2007 N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области"</t>
  </si>
  <si>
    <t>17.08.2007, не установлен</t>
  </si>
  <si>
    <t>Распоряжение Администрации Томской области от 16.11.2010 N 990-ра "Об организации обучения населения в области гражданской обороны, защиты от чрезвычайных ситуаций природного и техногенного характера"</t>
  </si>
  <si>
    <t>16.11.2010, не установлен</t>
  </si>
  <si>
    <t>ст.31 п. 2,4</t>
  </si>
  <si>
    <t>Постановление Администрации Томской области от 28.01.2011 N 19а "О порядке предоставления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t>
  </si>
  <si>
    <t>10.02.2011, не установлен</t>
  </si>
  <si>
    <t>п.2 п.п.8), п.22</t>
  </si>
  <si>
    <t>ст. 1</t>
  </si>
  <si>
    <t>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t>
  </si>
  <si>
    <t>07.01.2007, не установлен</t>
  </si>
  <si>
    <t>Закон Томской области от 06.04.2009 N 47-ОЗ "О профилактике правонарушений в Томской области"</t>
  </si>
  <si>
    <t xml:space="preserve">Федеральный Закон от 06.10.2003 № 131-ФЗ "Об общих принципах организации местного самоуправления" </t>
  </si>
  <si>
    <t>Гл. 4</t>
  </si>
  <si>
    <t>25.04.2009, не установлен</t>
  </si>
  <si>
    <t>вводится ежегодно ЗТО об областном бюджете на очередной финансовый год</t>
  </si>
  <si>
    <t>Федеральный закон от 22.10.2004 N 125-ФЗ "Об архивном деле в Российской Федерации"</t>
  </si>
  <si>
    <t>ст. 18</t>
  </si>
  <si>
    <t>27.10.2004, не установлен</t>
  </si>
  <si>
    <t>Федеральный закон от 24.06.1999 N 120-ФЗ "Об основах системы профилактики безнадзорности и правонарушений несовершеннолетних"</t>
  </si>
  <si>
    <t>Закон Томской области от 29.12.2005 N 241-ОЗ "О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t>
  </si>
  <si>
    <t xml:space="preserve">Закон Томской области от 10.11.2006 N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t>
  </si>
  <si>
    <t>Федеральный закон от 24.04.2008 N 48-ФЗ "Об опеке и попечительстве"</t>
  </si>
  <si>
    <t>01.09.2008, не установлен</t>
  </si>
  <si>
    <t>Закон Томской области от 15.12.2004 N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</si>
  <si>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ст.1 п.п.1)</t>
  </si>
  <si>
    <t xml:space="preserve">Закон Томской области от 14.10.2005 N 191-ОЗ "О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 </t>
  </si>
  <si>
    <t>Закон Томской области от 29.12.2005 N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</si>
  <si>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Закон Томской области от 15.12.2004 N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</si>
  <si>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Постановление Правительства РФ от 31.12.2010 N 1238 "О порядке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</si>
  <si>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 xml:space="preserve">01.01.2011, не установлен; </t>
  </si>
  <si>
    <t>Закон Томской области от 27.01.2006 N 3-ОЗ "Об условиях и порядке выплаты педагогическим работникам областных государственных и муниципальных образовательных учреждений Томской области вознаграждения за выполнение функций классного руководителя"</t>
  </si>
  <si>
    <t xml:space="preserve">Закон Томской области от 17.12.2007 N 276-ОЗ "О выделении субвенций местным бюджетам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рамках общеобразовательных программ в муниципальных общеобразовательных учреждениях" </t>
  </si>
  <si>
    <t>Федеральный закон от 25.10.2002 № 125-ФЗ "О жилищных субсидиях гражданам, выезжающим из районов Крайнего Севера и приравненных к ним местностей"</t>
  </si>
  <si>
    <t>01.01.2003, не установлен</t>
  </si>
  <si>
    <t xml:space="preserve">Закон Томской области от 13.04.2006 N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</si>
  <si>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 xml:space="preserve">Закон Томской области от 18.03.2003 N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</si>
  <si>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Федеральный закон от 20.08.2004 N 113-ФЗ "О присяжных заседателях федеральных судов общей юрисдикции в Российской Федерации"</t>
  </si>
  <si>
    <t xml:space="preserve">Закон Томской области от 11.09.2007 N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</si>
  <si>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ст.5</t>
  </si>
  <si>
    <t>вводится в действие ежегодно</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</si>
  <si>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</si>
  <si>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23.12.1996, не установлен</t>
  </si>
  <si>
    <t xml:space="preserve">Закон Томской области от 07.07.2009 N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</si>
  <si>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ст.1 п.п.5)</t>
  </si>
  <si>
    <t>Закон Томской области от 24.11.2009 N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t>
  </si>
  <si>
    <t>Закон Томской области от 08.09.2009 N 173-ОЗ "О наделении органов местного самоуправления отдельными государственными полномочиями по воспитанию и обучению детей-инвалидов в муниципальных дошкольных образовательных учреждениях"</t>
  </si>
  <si>
    <t>ст. 1-6</t>
  </si>
  <si>
    <t>ст.15.1</t>
  </si>
  <si>
    <t>п.2</t>
  </si>
  <si>
    <t>Постановление Правительства РФ от 17.12.2010 N 1050 "О федеральной целевой программе "Жилище" на 2011 - 2015 годы"</t>
  </si>
  <si>
    <t>01.01.2010 -31.12.2015</t>
  </si>
  <si>
    <t>25.06.2002, не установлен</t>
  </si>
  <si>
    <t>Постановление Правительства РФ от 30.12.2003 N 794 "О единой государственной системе предупреждения и ликвидации чрезвычайных ситуаций"</t>
  </si>
  <si>
    <t>Федеральный закон от 29 декабря 2006 г. N 264-ФЗ
"О развитии сельского хозяйства"</t>
  </si>
  <si>
    <t>Кодекс Российской Федерации об административных правонарушениях
от 30 декабря 2001 г. N 195-ФЗ</t>
  </si>
  <si>
    <t>ст.22.1</t>
  </si>
  <si>
    <t>01.07.2002, не установлен</t>
  </si>
  <si>
    <t>Федеральный закон от 24 ноября 1995 г. N 181-ФЗ
"О социальной защите инвалидов в Российской Федерации"</t>
  </si>
  <si>
    <t>01.01.1996, не установлен</t>
  </si>
  <si>
    <t>25.04.2011, не установлен</t>
  </si>
  <si>
    <t>МБТ на стимулирующие выплаты в муниципальных дошкольных общеобразовательных учреждениях</t>
  </si>
  <si>
    <t>Постановление Администрации Томской области от 10.02.2011 № 27а "О порядке предоставления иных межбюджетных трансфертов на стимулирующие выплаты в муниципальных дошкольных дошкольных образовательных учреждениях Томской области"</t>
  </si>
  <si>
    <t>Субвенция на возмещение возмещение гражданам, ведущим личное подсобное хозяйство, с/х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с/х кредитных потребительских кооперативах в 2005 - 2011 годах на срок до 8 лет</t>
  </si>
  <si>
    <t>Субсидия на развитие инфраструктуры дошкольного образования</t>
  </si>
  <si>
    <t>п.2 п.п.6</t>
  </si>
  <si>
    <t>Постановление Правительства РФ от 3.12.2002 г. N 858 "О федеральной целевой программе "Социальное развитие села до 2013 года"</t>
  </si>
  <si>
    <t>03.12.2002, не установлен</t>
  </si>
  <si>
    <t>ст.1</t>
  </si>
  <si>
    <t>Иные межбюджетные трансферты на подготовку генеральных планов, правил землепользования и застройки поселений и городских округов</t>
  </si>
  <si>
    <t>Расходы на обеспечение организации и проведение подготовки и переподготовки медицинских кадров муниципальных учреждений здравоохранения за счет областного бюджета</t>
  </si>
  <si>
    <t>Решение Думы Колпашевского района от 29.08.2011 № 88 "Об использовании иных межбюджетных трансыертов на обеспечение организации и проведение подготовки и переподготовки медецинских кадров муниципальных учреждений здравоохранения"</t>
  </si>
  <si>
    <t>29.08.2011, не установлен</t>
  </si>
  <si>
    <t>Постановление Администрации Колпашевского района от 19.08.2011 № 836 "Об утверждении Порядка обеспечения организации и проведения подготовки и переподготовки медицинских кадров муниципальных учреждений здравоохранения"</t>
  </si>
  <si>
    <t>19.08.2011, не установлен</t>
  </si>
  <si>
    <t>расходы на содержание МКУ "Архив"</t>
  </si>
  <si>
    <t>Расходы на реализацию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t>
  </si>
  <si>
    <t>Постановление Администрации Томской области от 10.06.2011 N 135а "О порядке предоставления иных межбюджетных трансфертов на обеспечение организации и проведение подготовки и переподготовки медицинских кадров муниципальных учреждений здравоохранения"</t>
  </si>
  <si>
    <t>п 1-3</t>
  </si>
  <si>
    <t>27.05.2011- 31.12.2011</t>
  </si>
  <si>
    <t>Иные межбюджетные трансферты на строительство инженерной инфраструктуры территорий индивидуальной застройки в с.Чажемто (в соответствии с распоряжением АТО от 20.07.2011 № 690-ра)</t>
  </si>
  <si>
    <t>Дотации на поддержку мер по обеспечению сбалансированности бюджетов поселений</t>
  </si>
  <si>
    <t>Закон Томской области от 07.09.2009 N 169-ОЗ "О взаимодействии органов государственной власти Томской области с Ассоциацией "Совет муниципальных образований Томской области"</t>
  </si>
  <si>
    <t>ст. 6,7</t>
  </si>
  <si>
    <t>26.09.2009, не установлен</t>
  </si>
  <si>
    <t>Иные межбюджетные трансферты на исполнение судебного решения по обеспечению жилыми помещениями детей-сирот, оставшихся без попечения родителей, а также детей из их числа, не имеющих закрепленного жилого помещения</t>
  </si>
  <si>
    <t>Иные межбюджетные трансферты на строительство комплексной спортивной площадки в с.Тогур Колпашевского района</t>
  </si>
  <si>
    <t>Постановление Администрации Колпашевского района от 29.11.2010 № 1453 "Об утверждении долгосрочной районной целевой  программы «Энергосбережение и повышение энергетической эффективности на территории Колпашевского района Томской области на период с 2010 по 2012 годы и на перспективу до 2020 года» (в редакции от 19.09.2011 № 983)</t>
  </si>
  <si>
    <t>29.11.2010- 31.12.2020</t>
  </si>
  <si>
    <t>Расходы на частичную оплату стоимости питания отдельных категорий обучающихся в муниципальных учреждениях Томской области, за счет средств иных межбюджетных трансфертов из областного бюджета</t>
  </si>
  <si>
    <t>Средства субсидии из областного бюджета на реализацию подпрограммы "Школьное окно"</t>
  </si>
  <si>
    <t>Решение Думы Колпашевского района от 29.08.2011 № 94 "О порядке использования средств субсидии из областного бюджета на реализацию подпрограммы "Школьное окно" долгосрочной целевой программы "Энергосбережение и повышение энергитической эффективности на территории Томской области на 2011- 2012 годы и на перспективу до 2020 года"</t>
  </si>
  <si>
    <t>29.08.2011- не установлен</t>
  </si>
  <si>
    <t>Постановление Администрации Томской области от 13.05.2010 г. N 94а "О Порядке предоставления из областного бюджета субсидий бюджетам муниципальных образований Томской области и их расходования"</t>
  </si>
  <si>
    <t>Расходы на ремонт муниципальных объектов социальной сферы, закрепленных на праве оперативного управления за муниципальными учреждениями культуры, здравоохранения, образования, за счет средств местного бюджета</t>
  </si>
  <si>
    <t>Постановление Администрации Колпашевского района от 22.11.2011 № 1226 "О утверждении Положения о порядке перечисления гражданам единовременной денежной выплаты на приобретение или строительство жилого помещения на территории Томской области органами местного самоуправления муниципального образования «Колпашевский район» за счёт средств федерального бюджета в соответствии с Федеральным законом от 27 мая 1998 г. № 76-ФЗ «О статусе военнослужащих» и Федеральным   законом от 8 декабря 2010 г. № 342-ФЗ «О внесении изменений в Федеральный закон «О статусе военнослужащих» и об обеспечении жилыми помещениями некоторых категорий граждан"</t>
  </si>
  <si>
    <t>Федеральный закон от 27.05.1998 N 76-ФЗ "О статусе военнослужащих"</t>
  </si>
  <si>
    <t>ст.3 п.4</t>
  </si>
  <si>
    <t>01.01.1998, не установлен</t>
  </si>
  <si>
    <t>Закон Томской области от 08.08.2011 N 163-ОЗ "О наделении органов местного самоуправления отдельными государственными полномочиями по обеспечению жилыми помещениями отдельных категорий граждан за счет средств федерального бюджета в соответствии с Федеральным законом от 27.05.1998 N 76-ФЗ "О статусе военнослужащих" и Федеральным законом от 08.12.2010 N 342-ФЗ "О внесении изменений в Федеральный закон "О статусе военнослужащих" и об обеспечении жилыми помещениями некоторых категорий граждан"</t>
  </si>
  <si>
    <t>ст. 3</t>
  </si>
  <si>
    <t>10.09.2011, не установлен</t>
  </si>
  <si>
    <t>2.3.30.</t>
  </si>
  <si>
    <t>Расходы на реализацию подпрограммы "Обеспечение жильем молодых семей" (ФЦП "Жилище" на 2011-2015гг.) (федеральный бюджет)</t>
  </si>
  <si>
    <t>Постановление Администрации Томской области от 26.04.2011 N 118а "О реализации на территории Томской области подпрограммы "Обеспечение жильем молодых семей" федеральной целевой программы "Жилище" на 2011-2015 годы и долгосрочной целевой программы "Обеспечение жильем молодых семей в Томской области на 2011-2015 годы"</t>
  </si>
  <si>
    <t>п.1 п.п.6)</t>
  </si>
  <si>
    <t>26.04.2011, 31.12.2015</t>
  </si>
  <si>
    <t>Иные межбюджетные трансферты на укрепление материально-технической базы МУ "Новогоренский СКДЦ"</t>
  </si>
  <si>
    <t>Иные межбюджетные трансферты на изготовление и установку детской игровой площадки по адресу: г.Колпашево, ул.Сосновая, 9 (в соответствии с распоряжением АТО от 29.09.2011 № 77-р-в)</t>
  </si>
  <si>
    <t>Иные межбюджетные трансферты на изготовление и установку детской игровой площадки в с.Тогур, ул. Пушкина, д.34 (в соответствии с распоряжением Администрации ТО от 21.10.2011 № 85-р-в)</t>
  </si>
  <si>
    <t>Решение Думы Колпашевского района от 16.12.2011 № 184 "О порядке расходования средств субсидии из областного бюджета Томской области на установку приборов учета потребления теплоэнергетических ресурсов в муниципальных учреждениях Томской области"</t>
  </si>
  <si>
    <t>16.12.2011- 31.12.2011</t>
  </si>
  <si>
    <t>Решение Думы Колпашевского района от 18.03.2011 № 23 "Об организации проведения районнных мероприятий и обеспечении участия в мероприятиях регионального, федерального уровней в сфере образования" (в редакции от 16.12.2011 № 167)</t>
  </si>
  <si>
    <t>Иные межбюджетные трансферты на разработку, экспертизу проектно-сметной документации, приобретение, установку водогрейных котлов, сборку блочно-модульной котельной "Звезда" г.Колпашево и подключение её к инженерным сетям с целью предупреждения черезвычайной ситуации</t>
  </si>
  <si>
    <t>Субсидия бюджетам поселений на реализацию программы энергосбережения и повышения энергетической эффективности на период до 2020 года</t>
  </si>
  <si>
    <t>Иные межбюджетные трансферты для проведения аварийно-восстановительных работ на котельной "Лазо" по адресу: г.Колпашево, ул.Крылова, 9/2 (в соответствии с распоряжением АТО от 16.11.2011 № 1164-ра)</t>
  </si>
  <si>
    <t>Закон Томской области от 17.08.2010 № 162а "Об утверждении долгосрочной целевой программы "Энергосбережение и повышение энергетической эффективности на территории Томской области на 2010 - 2012 годы и на перспективу до 2020 года"</t>
  </si>
  <si>
    <t>Решение Думы Колпашевского района от 25.11.2005 № 17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обратнодля лиц, работающих в учреждениях и организациях, финансируемых из бюджета Колпашевского района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района для лиц, работающих в учреждениях и организациях. финансируемых из бюджета Колпашевского района" (в редакции от 31.08.06 № 193; от 29.06.07 № 334, от 26.12.2007 № 402, от 28.08.2008 № 529, от 21.09.2009 № 706, от 13.07.2010 № 874, от 23.08.2010 № 908, от 23.08.2010 № 913, от 29.09.2010 № 931, от 16.12.2011 № 163)</t>
  </si>
  <si>
    <t>п.3</t>
  </si>
  <si>
    <t>23.05.2011, не установлен</t>
  </si>
  <si>
    <t>Решение Думы Колпашевского района от 23.11.2009 № 734 "Об использовании средств местного бюджета на финансирование расходов, связанных с осуществлением перевозок водным транспортом обучающихся муниципальных общеобразовательных учреждений МО "Колпашевский район" (в редакции от 29.08.2011 № 90)</t>
  </si>
  <si>
    <t>01.09.2010- 31.12.2020</t>
  </si>
  <si>
    <t>Иные межбюджетные трансферты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t>
  </si>
  <si>
    <t>Субсидии местным бюджетам на софинансирование объектов капитального строительства собственности муниципальных образований в рамках ДЦП "Развитие автомобильных дорог общего пользования регионального или межмуниципального значения Томской области на 2011 - 2015 годы"</t>
  </si>
  <si>
    <t>ПРОЕКТ</t>
  </si>
  <si>
    <t>Расходы на оказание медицинской помощи в отделении сестринского ухода детям, в возрасте до 4-х лет, оказавшихся без попечения родителей или иных законных представителей</t>
  </si>
  <si>
    <t>Расходы на выплату денежной компенсации донорам за сданную кровь</t>
  </si>
  <si>
    <t>Расходы на приобретение детских молочных смесей для детей раннего возраста</t>
  </si>
  <si>
    <t>Расходы на проведение конкурса "Развитие общественных инициатив"</t>
  </si>
  <si>
    <t>Распоряжение Администрации Колпашевского района от 13.12.2011 № 1144 "О распределении денежных средств на осуществление дорожной деятельности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в границах муниципального образования «Колпашевский район» на 2012 г."</t>
  </si>
  <si>
    <t>Решение Думы Колпашевского района от 29.11.2006 № 240 "Об утверждении Положения "Об организации и осуществлении мероприятий межпоселенческого характера по работе с детьми и молодежью на территории муниципального образования "Колпашевский район"</t>
  </si>
  <si>
    <t>01.01.2012- 31.12.2012</t>
  </si>
  <si>
    <t>Расходы на переподготовку кадров и повышение квалификации</t>
  </si>
  <si>
    <t>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t>
  </si>
  <si>
    <t>Решение Думы Колпашевского района от 23.01.2012 № 1 "О финансировании расходов на выплату вознаграждения донорам за зданную кровь"</t>
  </si>
  <si>
    <t>п.1,2,4,5</t>
  </si>
  <si>
    <t>01.01.2012, не установлен</t>
  </si>
  <si>
    <t>п.1,2</t>
  </si>
  <si>
    <t>Расходы на реализацию Региональной программы по проведению противоаварийных мероприятий в зданиях государственных и муниципальных общеобразовательных учреждений Томской области в 2012 году</t>
  </si>
  <si>
    <t>Распоряжение Администрации Томской области от 30.12.2011 N 1402-ра "Об утверждении Региональной программы по проведению противоаварийных мероприятий в зданиях государственных и муниципальных общеобразовательных учреждений Томской области в 2012 году"</t>
  </si>
  <si>
    <t>30.12.2011- 31.12.2012</t>
  </si>
  <si>
    <t>Решение Думы Колпашевского района от 13.02.2012 № 23 "О порядке использования средств субсидии из областного бюджета на реализацию Региональной программы по проведению противоаварийных мероприятий в зланиях государственных и муниципальных общеобразовательных учреждений Томской области в 2012 году"</t>
  </si>
  <si>
    <t>п.1,3</t>
  </si>
  <si>
    <t>13.02.2012- 31.12.2012</t>
  </si>
  <si>
    <t>Решение Думы Колпашевского района от 13.02.2012 № 18 "О финансировании расходов на организацию питания детей раннего возраста"</t>
  </si>
  <si>
    <t>Постановление Администрации Колпашевского района от 31.01.2012 № 78 "Об утверждении Порядка определения объёма и условий предоставления субсидии за счёт средств бюджета муниципального образования «Колпашевский район»   муниципальному бюджетному учреждению здравоохранения "Колпашевская ЦРБ" на ремонт муниципальных объектов здравоохранения"</t>
  </si>
  <si>
    <t>Решение Думы Колпашевского района от 13.02.2012 № 17 "О финансировании расходов отделения сестринского ухода и признании утратившими силу отдельных решений Думы Колпашевского района"</t>
  </si>
  <si>
    <t>Решение Думы Колпашевского района от 29.08.2011 № 100 "Об организации отделения сестринского ухода" (в редакции от 13.02.2012 № 17)</t>
  </si>
  <si>
    <t>Расходы на создание условий для оказания медицинской помощи населению на территории муниципального образования "Колпашевский район"</t>
  </si>
  <si>
    <t>Решение Думы Колпашевского района от 13.02.2012 № 19 "О финансировании расходов на создание условий для оказания медицинской помощи населению на территории муниципального образования "Колпашевский район" в соответствии с территориальной программой государственных гарантий оказания гражданам Российской Федерации бесплатной медицинской помощи"</t>
  </si>
  <si>
    <t>1102, 1101</t>
  </si>
  <si>
    <t>1102</t>
  </si>
  <si>
    <t xml:space="preserve">Постановление администрации Колпашевского района от 01.02.2012 № 88 "Об установлении расходных обязательств по осуществлению отдельных государственных полномочий по организации оказания первичной медико-санитарной помощи в амбулаторно-поликлинических, стационарно-поликлинических и больничных учреждениях, скорой медицинской помощи (за исключением санитарно-авиционной), медицинской помощи женщинам в период беременности, во время и после родов в соответствии с областной программой государственных гарантий оказания гражданам Российской Федерации бесплатной медицинской помощи на территории Томской области"  </t>
  </si>
  <si>
    <t>01.01.2012, до окончания действия ЗТО от 09.11.2011 № 299-ОЗ</t>
  </si>
  <si>
    <t>22.11.2011, не установлен</t>
  </si>
  <si>
    <t>Расходы на проведение социалогических иследований в соответствии с распоряжением АТО от 12.01.2012 № 4-ра</t>
  </si>
  <si>
    <t>Распоряжение Админстрации Томской области от 12.01.2012 № 4-ра "О выделении бюджетных ассигнований бюджетам муниципальных образований Томской области"</t>
  </si>
  <si>
    <t>Иные межбюджетные трансферты на оплату проектирования газовой модульной котельной "Школа 4"</t>
  </si>
  <si>
    <t>Иные межбюджетные трансферты на софинансировнание мероприятий по капитальному ремонту многоквартирных домов</t>
  </si>
  <si>
    <t>Иные межбюджетные трансферты на приобретение сетей теплоснабжения для газовых котельных</t>
  </si>
  <si>
    <t>Иные межбюджетные трансферты на приобретение мотокос и приобретение и установку установочных павильонов</t>
  </si>
  <si>
    <t>Иные межбюджетные трансферты на проведение работ по аварийно-спасательным и аварийно-восстановительным работам по газовой котельной "Лазо" (г.Колпашево, ул. Крылова, 9/2)</t>
  </si>
  <si>
    <t>Иные межбюджетные трансферты  на изготовление проекта планировки и топографической съемки микрорайона индивидуальной застройки "Юбилейный" в селе Чажемто Колпашевского района Томской области муниципальному образованию "Чажемтовское сельское поселение"</t>
  </si>
  <si>
    <t>Иные межбюджетные трансферты  на организацию деятельности народного академического хора при МБУ "ЦКД"</t>
  </si>
  <si>
    <t>Иные межбюджетные трансферты  на укрепление материально-технической базы сельских домов культуры</t>
  </si>
  <si>
    <t>Иные межбюджетные трансферты  на приобретение травокосилки в рамках благоустройства Иванкинского поселения</t>
  </si>
  <si>
    <t>Иные межбюджетные трансферты  на приобретение травокосилок в рамках благоустройства Новогоренского поселения поселения</t>
  </si>
  <si>
    <t>12.01.2012- 20.03.2012</t>
  </si>
  <si>
    <t>Постановление Администрации Колпашевского района от 19.01.2012 № 28 "О порядке расходования средств субсидии из резервного фонда финансирования непредвиденных расходов Администрации Томской области для проведения социалогических исследований"</t>
  </si>
  <si>
    <t>19.01.2012- 20.03.2012</t>
  </si>
  <si>
    <t>01.05.2008, не установлен</t>
  </si>
  <si>
    <t>Постановление Администрации Колпашевского района от 30.06.2010 № 860 "Об установлении расходного обязательства муниципального образования "Колпашевский район" по осуществлению отдельных государственных полномочий по созданию и обеспечению деятельности комиссий по делам несовершенннолетних и защите их прав"</t>
  </si>
  <si>
    <t>01.07.2010, до окончания срока действия ЗТО от 29.12.2005 № 241-ОЗ</t>
  </si>
  <si>
    <t>Постановление Администрации Колпашевского района от 30.06.2010г.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</si>
  <si>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t>
  </si>
  <si>
    <t xml:space="preserve">Постановление Администрации Колпашевского района от 29.06.2010 № 845 "Об установлении расходных обязательств по осуществлению отдельных государственных полномочий по расчету и предоставлению дотаций поселениям, входящим в состав МО "Колпашевский район" </t>
  </si>
  <si>
    <t>Постановление Администрации Колпашевского района  от 26.06.2010 № 829 "Об установлении расходных обязательств по осуществлению отдельных государственных полномочий по выплате надбавок к тарифной ставке (должностному окладу) педагогическим работникам и руководителм МОУ"</t>
  </si>
  <si>
    <t xml:space="preserve">01.07.2010-до окончания срока действия ЗТО от 15.12.2004 № 248-ОЗ </t>
  </si>
  <si>
    <t>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</si>
  <si>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 xml:space="preserve">Постановление Администрации Колпашевского района от 30.06.2010 № 862 "Об установлении расходных обязательств по осуществлению отдельных государственных полномочий по составлению (изменению и дополнению) списков кандидатов в присяжные заседатели федеральных судов общей юрисдикции в РФ"         </t>
  </si>
  <si>
    <t xml:space="preserve">Постановление Администрации Колпашевского района от 29.06.2010 № 846 "Об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</si>
  <si>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01.07.2010-До окончания срока действия ЗТО от 18.03.2003 № 36-ОЗ</t>
  </si>
  <si>
    <t xml:space="preserve">Постановление Администрации Колпашевского района от 30.06.2010 №863 "Об установлении расходных обязательств по осуществлению отдельных государственных полномочий" </t>
  </si>
  <si>
    <t>Бюджетный кодекс Российской Федерации от 31.07.1998 № 145-ФЗ</t>
  </si>
  <si>
    <t>3 аб. п.1, п.3 ст. 86</t>
  </si>
  <si>
    <t>01.01.2000, не установлен</t>
  </si>
  <si>
    <t>Закон Томской области от 09.11.2011 N 299-ОЗ "О наделении органов местного самоуправления отдельными государственными полномочиями по организации оказания первичной медико-санитарной помощи в амбулаторно-поликлинических, стационарно-поликлинических и больничных учреждениях, скорой медицинской помощи (за исключением санитарно-авиационной), медицинской помощи женщинам в период беременности, во время и после родов в соответствии с областной программой государственных гарантий оказания гражданам Российской Федерации бесплатной медицинской помощи на территории Томской области"</t>
  </si>
  <si>
    <t>01.01.2012, вводится в действие ежегодно</t>
  </si>
  <si>
    <t>Постановление Администрации Колпашевского района от 30.06.2010 № 864 "Об установлении расходного обязательства МО "Колпашевский район" по осуществлению отдельных государственных полномочий по осуществлению денежных выплат медицинскому персоналу ФАП, врачам, фельдшерам и медицинским сестрам учреждений и подразделений скорой медицинской помощи муниципальной системы здравоохранения Томской области"</t>
  </si>
  <si>
    <t>01.07.2010, до окончания срока действия ЗТО от 27.03.2009 № 38-ОЗ</t>
  </si>
  <si>
    <t>01.07.2010, до окончания срока действия ЗТО от 15.12.2004 № 246-ОЗ</t>
  </si>
  <si>
    <t>Постановление Администрации Колпашевского района от 30.06.2010 № 866 "Об установлении расходного обязательства МО "Колпашевский район" по осуществлению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в Томской области"</t>
  </si>
  <si>
    <t>Постановление Администрации Колпашевского района от 30.06.2010 № 865 "Об установлении расходного обязательства МО "Колпашевский район" по осуществлению отдельных государственных полномочий по созданию и обеспечению деятельности административных комиссий"</t>
  </si>
  <si>
    <t>Постановление Администрации Колпашевского района от 28.06.2010 № 828 "Об установлении расходных обязательств по осуществлению отдельных государственных полномочий по воспитанию и обучению детей-инвалидов в МДОУ"</t>
  </si>
  <si>
    <t>Устав Колпашевского района</t>
  </si>
  <si>
    <t xml:space="preserve">01.01.2012, не установлен </t>
  </si>
  <si>
    <t>Постановление Администрации Колпашевского района от 31.08.2011 № 884 "Об установлении расходного обязательства муниципального образования «Колпашевский район»  по осуществлению отдельных государственных полномочий"</t>
  </si>
  <si>
    <t>31.08.2011 до окончания срока действия ЗТО от 08.08.2011 № 163-ОЗ</t>
  </si>
  <si>
    <t>31.05.2006, не установлен</t>
  </si>
  <si>
    <t>Решение думы Колпашевского района от 31.05.2006 № 154 "Об учреждении Управления образования Администрации Колпашевского района и утверждении Положения об Управлении образования Администрации Колпашевского района" (в редакции от 31.10.2006 № 221, от 14.02.2011 № 2, от 20.06.2011 № 58)</t>
  </si>
  <si>
    <t xml:space="preserve">Закон Томской области от 28.12.2010 N 336-ОЗ "О предоставлении межбюджетных трансфертов" </t>
  </si>
  <si>
    <t>абз 7 п.1 ст.1</t>
  </si>
  <si>
    <t>Организация обучения основам энергосбережения руководителей и специалистов МУ в рамках ДЦП "Энергосбережение и повышение энергетической эффективности на территории Томской области"</t>
  </si>
  <si>
    <t>Расходы на содержани е счетной палаты Колпашевского района</t>
  </si>
  <si>
    <t>Решение Думы Колпашевского района от 23.04.2012 № 43 "О Cчетной палате Колпашевского района"</t>
  </si>
  <si>
    <t>п.1,2,5</t>
  </si>
  <si>
    <t>23.04.2012, не установлен</t>
  </si>
  <si>
    <t>Решение Думы Колпашевского района от 14.07.2006 № 180 " Об утверждении Положения о создании условий для предоставления транспортных услуг населению и организации транспортного обслуживания населения по маршрутам между поселениями в границах МО "Колпашевский район" (в редакции от 29.11.2006 №237, от 27.04.2007 № 320, от 15.05.2008 № 477, от 08.09.2008 № 539)</t>
  </si>
  <si>
    <t>Решение Думы Колпашевского района от 23.04.2012 № 75 "О приостановлении действия отдельных положений решения Думы Колпашевского района от 14.07.2006 № 180 «Об утверждении Положения о создании условий для предоставления транспортных услуг населению и организации транспортного обслуживания населения по маршрутам между поселениями в границах муниципального образования «Колпашевский район» (в редакции от 29.11.2006 № 237, от 27.04.2007 № 320, от 15.05.2008 № 477, от 08.09.2008 № 539)</t>
  </si>
  <si>
    <t>23.04.2012- 31.12.2012</t>
  </si>
  <si>
    <t>16.12.2011, не установлен</t>
  </si>
  <si>
    <t>Постановление Администрации Колпашевского района от 04.04.2012 № 314 "Об утверждении Порядка определения объема и условия предоставления субсидии за счет средств бюджета муниципального образования "Колпашевский район" муниципальному бюджетному учреждению здравоохранения "Колпашевская центральная районная больница" на обеспечение организации и проведение подготовки и переподготовки медицинских кадров"</t>
  </si>
  <si>
    <t>04.04.2012- 31.12.2012</t>
  </si>
  <si>
    <t>Решение Думы Колпашевского района от 25.12.2009 № 774 "О порядке использования средств бюджета муниципального образования "Колпашевский район"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 (в редакции от 16.04.2010 № 824, от 23.04.2012 № 66)</t>
  </si>
  <si>
    <t>Решение Думы Колпашевского района от 23.04.2012 № 58 "О порядке ипользования в 2012 году средств бюджета МО "Колпашевский район" на проведение мероприятий в рамках реализациикомплексной программы СЭР МО "Колпашеский район"</t>
  </si>
  <si>
    <t>1101</t>
  </si>
  <si>
    <t>Постановление Администрации Колпашевского района от 15.10.2010 № 1294 "Об утверждении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 (в редакции от 16.03.2011 № 198, от 10.08.2011 № 809, от 05.09.2011 № 910, от 13.02.2012 № 136)</t>
  </si>
  <si>
    <t>Решение Думы Колпашевского района от 23.04.2012 № 57 "О порядке использования средств бюджета МО "Колпашевский район" на проведение мероприятий по улучшению жилищных условий граждан, проживающих в сельской местности, в том числе молодых семей и молодых специалистов"</t>
  </si>
  <si>
    <t>Постановление Администрации Томской области от 6 марта 2012 г. N 84а "О финансовом обеспечении выплаты стипендии Губернатора Томской области молодым учителям областных государственных и муниципальных образовательных учреждений Томской области"</t>
  </si>
  <si>
    <t>п. 1,3</t>
  </si>
  <si>
    <t>Постановление Администрации Колпашевского района от 15.10.2010 № 1293 "Об утверждении долгосрочной районной программы "Предоставление молодым семьям государственной поддержки на приобретение (строительство) жилья на территории Колпашевского района на 2011 - 2015 годы" (в редакции от 06.05.2011 № 429, от 22.08.2011 № 845)</t>
  </si>
  <si>
    <t>Решение Думы Колпашевского района от 25.11.2011 № 133 "О бюджете муниципального образования "Колпашевский район" на 2012 год"</t>
  </si>
  <si>
    <t>Субсидия на организацию благоустройства территорий</t>
  </si>
  <si>
    <t>Иные межбюджетные трансферты на поощрение поселенческих команд, учавствовавших в 5-й зимней межпоселенческой спартакиаде</t>
  </si>
  <si>
    <t>Иные межбюджетные трансферты на софинансирование расходов на строительство газовых котельных взамен нефтяных</t>
  </si>
  <si>
    <t>Иные межбюджетные трансферты на приобретение топлива для котельных МУП "Пламя" с целью ликвидации черезвычайной ситуации (в соответствии с распоряжением АТО от 01.02.2012 № 61-ра)</t>
  </si>
  <si>
    <t xml:space="preserve">Субсидия на реализацию комплекса мер по модернизации общего образования Томской области </t>
  </si>
  <si>
    <t>2.1.81.</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</si>
  <si>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</si>
  <si>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МБТ на исполнение судебных решений по обеспечению жилыми помещениями детей-сирот и детей, оставшихся без попечения родителей, а также детей из их числа, не имеющих закрепленного жилого помещения</t>
  </si>
  <si>
    <t>ИМБТ в качестве денежной премии победителям областного ежегодного конкурса на звание "Самое благоустроенное муниципальное образование Томской области"</t>
  </si>
  <si>
    <t>Субсидия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на 2012 год (за счет средств федерального бюджета)</t>
  </si>
  <si>
    <t>Расходы согласно распоряжению АТО от 18.05.2012 № 52-р-в</t>
  </si>
  <si>
    <t>Постановление Администрации Колпашевского района от 28.05.2012 № 505 "Об утверждении Порядка определения объёма и условий предоставления субсидий из средств бюджета муниципального образования "Колпашевский район" муниципальным бюджетным образовательным учреждениям и муниципальным автономным образовательным учреждениям на обустройство территорий, прилегающих к общеобразовательным учреждениям"</t>
  </si>
  <si>
    <t>28.05.2012, не устанвлен</t>
  </si>
  <si>
    <t>Постановление Администрации Колпашевского района от 18.05.2012 № 471"Об утверждении Порядка определения объёма и условий предоставления субсидий из средств бюджета муниципального образования "Колпашевский район" муниципальным бюджетным образовательным учреждениям и муниципальным автономным образовательным учреждениям на  реализацию региональной программы "Школьное питание в общеобразовательных учреждениях Томской области на 2012-2013 годы"</t>
  </si>
  <si>
    <t>01.05.2012, не установлен</t>
  </si>
  <si>
    <t>Расходы на реализацию региональной программы "Школьное питание в общеобразовательных учреждениях Томской области на 2012-2013 годы"</t>
  </si>
  <si>
    <t>Стипендии Губернатора Томской области лучшим учителям областных государственных и муниципальных образовательных учреждений ТО</t>
  </si>
  <si>
    <t>Расходы на укрепление материально-технической базы МБОУ ДОД "ДШИ" в соответствии с распоряжением АТО от 05.06.2012 № 58-р-в</t>
  </si>
  <si>
    <t>Постановление Администрации Колпашевского района от 04.07.2012 № 643 "О расходовании средств субсидии из резервного фонда финансирования непредвиденных расходов Администрации Томской области на укрепление материально-технической базы"</t>
  </si>
  <si>
    <t>04.07.2012- 31.12.2012</t>
  </si>
  <si>
    <t>Расходы в соответствии с распоряжением АТО от 18.05.2012 № 52-р-в</t>
  </si>
  <si>
    <t>Мероприятия по созданию условий для обеспечения поселений, входящих в состав Колпашевского района услугами по организации досуга и услугами организаций культуры</t>
  </si>
  <si>
    <t xml:space="preserve">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
</t>
  </si>
  <si>
    <t>Субвенция на предоставление субсидии гражданам, ведущим личное подсобное хозяйство, на возмещение затрат по приобретению сельскохозяйственной техники и оборудования</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</si>
  <si>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редакцтт от 19.06.2012 № 577)</t>
  </si>
  <si>
    <t>ИМБТ на приобретение в муниципальную собственность газораспределительных сетей г.Колпашево и с. Тогур Колпашевского района ТО, 5 очередь, 2 этап</t>
  </si>
  <si>
    <t>Решение Думы Колпашевского района от 16.12.2011 № 185 "О порядке расходования средств субсидии             из областного бюджета Томской области на установку приборов учета потребления теплоэнергетических ресурсов в муниципальных учреждениях Томской области"</t>
  </si>
  <si>
    <t>Гл.3, ст.15, часть 1, п.19.1</t>
  </si>
  <si>
    <t>Распоряжение Администрации Томской области от 18.05.2012 N 52-р-в "Об использовании бюджетных ассигнований резервного фонда финансирования непредвиденных расходов Администрации Томской области"</t>
  </si>
  <si>
    <t>пп.в), п. 4)</t>
  </si>
  <si>
    <t>18.05.2012- 31.12.2012</t>
  </si>
  <si>
    <t>пп.в), пп.б), п. 4)</t>
  </si>
  <si>
    <t>Распоряжение Администрации Томской области от 05.06.2012 N 58-р-в "Об использовании бюджетных ассигнований резервного фонда финансирования непредвиденных расходов Администрации Томской области"</t>
  </si>
  <si>
    <t>п. 7)</t>
  </si>
  <si>
    <t>_____________________________</t>
  </si>
  <si>
    <t>Начальник УФЭП    Р.В. Морозова</t>
  </si>
  <si>
    <t>(подпись)</t>
  </si>
  <si>
    <t>(наименование должности руководителя)</t>
  </si>
  <si>
    <t>01.09.2010- 31.12.2022</t>
  </si>
  <si>
    <t>2.1.82.</t>
  </si>
  <si>
    <t>утверждение и реализация муниципальных программ в области энергосбережения и повышения энергитической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</si>
  <si>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Постановление Администрации Колпашевского района от 18.05.2012 № 286 "Об утверждении Порядка использования бюджетных ассигнований резервного фонда Администрации Колпашевского района"</t>
  </si>
  <si>
    <t>Субсидия на предупреждение черезвычайной ситуации, связанной с переселением жителей домов с обрушающегося берега р.Обь, в соответствии с распоряжением Администрации Томской области от 21.06.2012 № 572-ра</t>
  </si>
  <si>
    <t>Распоряжение Администрации Томской области от 21.06.2012 № 572-ра "О выделении бюджетных ассигнований бюджету муниципального образования "Колпашевский район"</t>
  </si>
  <si>
    <t>21.06.2012- 25.12.2012</t>
  </si>
  <si>
    <t>Постановление Админи страции Колпашевского района от 26.07.2012 № 713 "Об использовании бюджетных ассигнований выделенных бюджету муниципального образования «Колпашевский район» из целевого финансового резерва Томской области для переселения жителей домов с обрушающегося берега р. Обь"</t>
  </si>
  <si>
    <t>26.07.2012- 25.12.2012</t>
  </si>
  <si>
    <t>Стипендия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t>
  </si>
  <si>
    <t>Расходы на укрепление материально-технической базы МБОУ ДОД "ДШИ с.Тогур" в соответствии с распоряжением АТО от 10.07.2012 № 71-р-в</t>
  </si>
  <si>
    <t>Расходы в соответствии с Распоряжением АТО от 10.07.2012 № 71-р-в (на укрепление МТБ Чажемтовского филиала МБУЗ "Колпашевская ЦРБ")</t>
  </si>
  <si>
    <t>Субсидия на софинансирование расходов на создание, развитие и обеспечение деятельности муниципальных бизнес-инкубаторов</t>
  </si>
  <si>
    <t>ИМБТ для награждения, приобретения спортивного оборудования, инвентаря и спортивной экипировки командам-победителям и призерам в командном зачете XXVI областных летних сельских спортивных игр "Стадион для всех"</t>
  </si>
  <si>
    <t>Иные межбюджетные трансферты на проведение выборов</t>
  </si>
  <si>
    <t>Иные межбюджетные трансферты на приобретение световых приборов для МБУ "ЦКД"</t>
  </si>
  <si>
    <t>Иные межбюджетные трансферты на приобретение запасных частей для ремонта автомобиля, используемого для оказания скорой помощи населению</t>
  </si>
  <si>
    <t>Иные межбюджетные трансферты на приобретение и установку электрического котла в котельной с.Белояровка</t>
  </si>
  <si>
    <t>Иные межбюджетные трансферты на расходы, связанные с работами по замене участка тепловых сетей</t>
  </si>
  <si>
    <t>Иные межбюджетные трансферты на проведение мероприятий к 110-летию с.Копыловка</t>
  </si>
  <si>
    <t>Иные межбюджетные трансферты на организацию уличного освещения в с. Новогорное</t>
  </si>
  <si>
    <t>Иные межбюджетные трансферты на организацию и проведение летней межпоселенческой спартакиады в с.Чажемто</t>
  </si>
  <si>
    <t>Иные межбюджетные трансферты на ремонт и оборудование пожарных водоисточников и устройство противопожарных защитных полос (в соответствии с распоряжением АТО от 06.04.2012 № 313-ра)</t>
  </si>
  <si>
    <t>Иные межбюджетные трансферты на реализацию мероприятий подпрограммы "Повышение энергетической эффективности котельных Томской области на 2010-2012 годы и на перспективу до 2020 года (за счет средств субсидии)</t>
  </si>
  <si>
    <t>Субсидия на капитальный ремонт и ремонт автомобильных дорог общего пользования населенных пунктов</t>
  </si>
  <si>
    <t>Межбюджетные трансферты из резервного фонда финансирования непредвиденных расходов АТО в соответствии с Распоряжением АТО от 10.07.2012 № 71-р-в</t>
  </si>
  <si>
    <t>Решение Думы Колпашевского района от 25.11.2005 № 17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обратнодля лиц, работающих в учреждениях и организациях, финансируемых из бюджета Колпашевского района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района для лиц, работающих в учреждениях и организациях. финансируемых из бюджета Колпашевского района" (в редакции от 31.08.06 № 193; от 29.06.07 № 334, от 26.12.2007 № 402, от 28.08.2008 № 529, от 21.09.2009 № 706, от 13.07.2010 № 874, от 23.08.2010 № 908, от 23.08.2010 № 913, от 29.09.2010 № 931, от 16.12.2011 № 163, от 16.07.2012 № 104)</t>
  </si>
  <si>
    <t>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от 23.08.2010 № 914, от 24.12.2010 № 32, от 18.03.2011 № 21, от 23.04.2012 № 48, от 24.05.2012 № 85, от 16.07.2012 № 95)</t>
  </si>
  <si>
    <t>Решение Думы Колпашевского района от 25.04.2011 № 37 "О порядке использования средств субсидии на компенсацию расходов по организации электроснабжения от дизельных электростанций в муниципальном образовании "Колпашевский район" (в редакции от 16.07.2012 № 93)</t>
  </si>
  <si>
    <t>10.07.2012- 31.12.2012</t>
  </si>
  <si>
    <t>30.07.2012- 31.12.2012</t>
  </si>
  <si>
    <t>Решение Думы Колпашевского района от 07.03.2012 № 42 "О порядке использования средств субсидии из областного бюджета на дорожную деятельность в отношении автомобильных дорог местного значения, а ткже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 (в редакции от 16.07.2012 № 108)</t>
  </si>
  <si>
    <t>01.04.2012- 31.12.2012</t>
  </si>
  <si>
    <t>Постановление Администрации Колпашевского района от 28.05.2012 № 506 "Об утверждении порядка и условий предоставления субсидии на возмещение недополученных доходов, связанных с предоставлением льготных услуг по перевозке населения речным транспортом по маршрутам № 1 "Тогур-Копыловка", № 2 "Тогур-Лебяжье"</t>
  </si>
  <si>
    <t>Решение Думы Колпашевского района от 13.07.2010 № 875 "Об утвержлении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 (в редакции от 23.08.2010 № 914, от 24.12.2010 № 32, от 18.03.2011 № 21, от 23.04.2012 № 48, от 24.05.2012 № 85, от 16.07.2012 № 95)</t>
  </si>
  <si>
    <t>Решение Думы Колпашевского района от 30.07.07 № 344 "О порядке финансирования муниципальных общеобразовательных учреждений" (в редакции  от 26.12.2007 № 407, от 28.02.2008 № 437; от 23.07.2008 № 509, от 02.07.2009 № 676, от 26.02.2010 № 800, от 13.07.2010 № 876, от 24.12.2010 № 33, от 25.04.2011 № 38, от 29.08.2011 № 89, от 23.04.2012 № 50, от 16.07.2012 № 97)</t>
  </si>
  <si>
    <t>Постановление Губернатора Томской области от 06.06.2012 N 72 "Об учреждении стипендии Губернатора Томской области лучшим учителям областных государственных и муниципальных образовательных учреждений
Томской области"</t>
  </si>
  <si>
    <t>01.04.2012, не установлен</t>
  </si>
  <si>
    <t>Постановление Губернатора Томской области от 16.03.2012 N 28 "Об учреждении ежемесячной стипендии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t>
  </si>
  <si>
    <t>п.5) п.п.ж)</t>
  </si>
  <si>
    <t>Постановление Администрации Колпашевского района от 30.07.2012 № 735 "О порядке расходования средств бюджетных ассигнований резервного фонда финансирования непредвиденных расходов Администрации Томской области"</t>
  </si>
  <si>
    <t>Распоряжение Администрации Томской области от 10.07.2012 N 71-р-в "Об использовании бюджетных ассигнований резервного фонда финансирования непредвиденных расходов Администрации Томской области"</t>
  </si>
  <si>
    <t>Постановление Администрации Колпашевского района от 26.07.2012 № 716 "О порядке расходования средств бюджетных ассигнований резервного фонда финансирования непредвиденных расходов Администрации Томской области"</t>
  </si>
  <si>
    <t>01.06.2012- 31.12.2012</t>
  </si>
  <si>
    <t>Постановление Администрации Колпашевского района от 26.07.2012 № 715 "О порядке расходования средств бюджетных ассигнований резервного фонда финансирования непредвиденных расходов Администрации Томской области"</t>
  </si>
  <si>
    <t>п.5) п.п.д)</t>
  </si>
  <si>
    <t>Постановление Администрации Колпашевского района от 20.08.2012 № 813 "О расходовании средств субсидии из резервного фонда финансирования непредвиденных расходов Администрации Томской области на укрепление материально-технической базы Чажемтовского филиала"</t>
  </si>
  <si>
    <t>20.08.2012- 31.12.2012</t>
  </si>
  <si>
    <t>Решение Думы Колпашевского района от 15.05.2008 № 476 "Об утверждении районной целевой программы "Поддержка и развитие малого и среднего предпринимательства в муниципальном образовании  "Колпашевский район" на 2008-2012 годы" (в редакции от 26.10.2008 № 532, от 08.09.2008 № 543, от  26.12.2008 № 587, от 28.10.2009 № 724, от 25.12.2009 № 761, от 28.01.2010 № 792, от 29.09.2010 № 925, от 18.03.2011 № 30, 25.04.2011 № 43, от 29.08.2011 № 95, от 17.10.2011 № 130, от 16.12.2011 № 165, от 23.03.2012 № 59, от 16.07.2012 № 109)</t>
  </si>
  <si>
    <t>Постановлени е Администрации Колпашевского района от 28.06.2012 № 623 "О порядке определения объёма и условия предоставления субсидии на установку приборов учёта потребления теплоэнергетических ресурсов в муниципальном бюджетном учреждении здравоохранения «Колпашевская центральная районная больница»</t>
  </si>
  <si>
    <t>28.06.2012- 01.07.2012</t>
  </si>
  <si>
    <t>Постановление Администрации Колпашевского района от 26.06.2012 № 614 "О порядке использования средств субсидии из областного бюджета Томской области на установку приборов учёта потребления теплоэнергетических ресурсов в муниципальных учреждениях Томской области</t>
  </si>
  <si>
    <t>26.06.2012- 01.07.2012</t>
  </si>
  <si>
    <t>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от 16.07.2012 № 92)</t>
  </si>
  <si>
    <t>Решение Думы Колпашевского района от 23.04.2012 № 52 "О порядке использования средств субсидии на модернизацию региональных систем общего образования в 2012 году"</t>
  </si>
  <si>
    <t>Постановление Администрации Томской области от 04.04.2012 N 122а "О финансовом обеспечении реализации комплекса мер по модернизации систем общего образования Томской области в 2012 году"</t>
  </si>
  <si>
    <t>МБТ из целевого финансового резерва ТО для предупреждения черезвычайных ситуаций в соответствии с распоряжением АТО от 27.07.2012 № 682-ра</t>
  </si>
  <si>
    <t>Распоряжение Администрации Томской области от 27.07.2012 № 682-ра "О выделении бюджетных ассигнований бюджету муниципального образования "Колпашевский район"</t>
  </si>
  <si>
    <t>п.п.1) п.1</t>
  </si>
  <si>
    <t>27.07.2012- 31.12.2012</t>
  </si>
  <si>
    <t>Постановление Администрации Колпашевского района от 20.08.2012 № 814 "О порядке расходования средств бюджетных ассигнований из целевого финансового резерва Томской области для предупреждения черезвычайных ситуаций"</t>
  </si>
  <si>
    <t>20.08.2012- 20.12.2012</t>
  </si>
  <si>
    <t>Расходы на укрепление материально-технической базы МБОУ "Новосёловская СОШ" в соответствии с распоряжением АТО от 14.08.2012 № 84-р-в</t>
  </si>
  <si>
    <t>Распоряжение Администрации Томской области от 14.08.2012 N 84-р-в "Об использовании бюджетных ассигнований резервного фонда финансирования непредвиденных расходов Администрации Томской области"</t>
  </si>
  <si>
    <t>п.п.8) п.1</t>
  </si>
  <si>
    <t>14.08.2012- 31.12.2012</t>
  </si>
  <si>
    <t>Постановление Администрации Колпашевского района от 31.08.2012 № 860 "О порядке расходования средств бюджетных ассигнований резервного фонда финансирования непредвиденных расходов Администрации Томской области"</t>
  </si>
  <si>
    <t>31.08.2012-30.12.2012</t>
  </si>
  <si>
    <t>Расходы в соответствии с распоряжением АТО от 22.08.2012 № 91-р-в (на приобретение металлического ограждения для СОШ № 7)</t>
  </si>
  <si>
    <t>Распоряжение Администрации Томской области от 22.08.2012 N 91-р-в "Об использовании бюджетных ассигнований резервного фонда финансирования непредвиденных расходов Администрации Томской области"</t>
  </si>
  <si>
    <t>п.10) п.п.б)</t>
  </si>
  <si>
    <t>22.08.2012- 31.12.2012</t>
  </si>
  <si>
    <t>Постановление Администрации Колпашевского района от 07.09.2012 № 894 "О порядке расходования средств бюджетных ассигнований резервного фонда финансирования непредвиденных расходов Администрации Томской области"</t>
  </si>
  <si>
    <t>07.09.2012-30.12.2012</t>
  </si>
  <si>
    <t>Расходы в соответствии с Распоряжением АТО от 22.08.2012 № 91-р-в (на укрепление МТБ)</t>
  </si>
  <si>
    <t>п.10) п.п. в)</t>
  </si>
  <si>
    <t>Постановление Администрации Колпашевского района от 13.09.2012 "О расходовании средств субсидии из резервного фонда финансирования непредвиденных расходов Администрации Томской области на укрепление материально-технической базы муниципального бюджетного учреждения здравоохранения "Колпашевская центральная районная больница"</t>
  </si>
  <si>
    <t>13.09.2012- 25.12.2012</t>
  </si>
  <si>
    <t>Расходы на работы, связанные с установкой и дальнейшей эксплуатацией стендов "Почетный житель Колпашевского района" на территории г.Колпашева</t>
  </si>
  <si>
    <t>Решение Думы Колпашевского района от 10.09.2012 № 122 "О порядке использования средств на установку и эксплуатацию стендов "Почётный житель Колпашевского района"</t>
  </si>
  <si>
    <t>10.09.2012, не установлен</t>
  </si>
  <si>
    <t>Иные межбюджетные трансферты на поощрение поселенческих команд, участвовавших в 7-й летней межпоселенческой спартакиаде в с.Чажемто</t>
  </si>
  <si>
    <t>Иные межбюджетные трансферты на изготовление проекта планировки микрорайона индивидуальной застройки "Юбилейный" в селе Чажемто Колпашевского района Томской области</t>
  </si>
  <si>
    <t>Иные межбюджетные трансферты на благоустройство поселения</t>
  </si>
  <si>
    <t>Иные межбюджетные трансферты на капитальный ремонт муниципального жилья</t>
  </si>
  <si>
    <t>Межбюджетные трансферты из целевого финансового резерва ТО для предупреждения чрезвычайных ситуаций в соответствии с Распоряжением АТО от 27.07.2012 № 682-ра</t>
  </si>
  <si>
    <t>Иные межбюджетные трансферты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</si>
  <si>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Иные межбюджетные трансферты из резервного фонда финансирования непредвиденных расходов АТО ( в соответствии с распоряжением АТО от 22.08.2012 № 91-р-в)</t>
  </si>
  <si>
    <t>Иные межбюджетные трансферты на подготовку генеральных планов, правил землепользования и застройки поселений</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</si>
  <si>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пследствий черезвычайных ситуаций природного и техногенного характера на территории муниципального образования "Колпашевский район"</t>
  </si>
  <si>
    <t xml:space="preserve">Решение Думы Колпашевского района от 10.12.05 № 34 "Об утверждении Положения о порядке предоставления и финансирования дошкольного образования на территории Колпашевского района" (в редакции от 29.03.06 № 120, от 29.06.06 № 170, от 13.10.06 № 209, от 28.08.2009 № 697, от 29.09.2010 № 918, от 18.03.2011 № 22, от 29.08.2011 № 93, от 25.11.2011 № 139, от 10.09.2012 № 117) </t>
  </si>
  <si>
    <t>Решение Думы Колпашевского района от 24.12.2010 № 36 "О компенсации расходов на питание обучающимся муниципальных общеобразовательных учреждений Колпашевского района" (в редакции от 29.08.2011 № 91, от 16.12.2011 № 166, от 13.02.2012 № 25, от 10.09.2012 № 116)</t>
  </si>
  <si>
    <t>Решение Думы Колпашевского района от 23.04.2012 № 51 "О порядке использования средств субсидии  из областного бюджета на развитие инфраструктуры дошкольного образования муниципальных образований Томской области"</t>
  </si>
  <si>
    <t>30.03.2012- 31.12.2012</t>
  </si>
  <si>
    <t>Постановление Администрации Колпашевского района от 19.09.2012 № 928 "О предоставлении из областного бюджета в 2012 году бюджету МО "Колпашевский район" иного межбюджетного трансферта для награждения , приобретения спортивного оборудования, инвентаря испортивной экипировки командам-победителям и призёрам в командном зачёте XXVI областных летних спортивных игр "Стадион для всех"</t>
  </si>
  <si>
    <t>19.09.2012- 15.10.2012</t>
  </si>
  <si>
    <t>Расходы в соответствии с распоряжением АТО от 17.09.2012 № 102-р-в (на укрепление материально-технической базы ДЮЦ)</t>
  </si>
  <si>
    <t>Расходы в соответствии с распоряжением АТО от 17.09.2012 № 102-р-в (на приобретение мебели)</t>
  </si>
  <si>
    <t>Постановление Администрации Колпашевского района от 03.10.2012 № 982 "О порядке расходования средств бюджетных ассигнований резервного фонда финансирования непредвиденных расходов Администрации Томской области"</t>
  </si>
  <si>
    <t>03.10.2012- 30.12.2012</t>
  </si>
  <si>
    <t>Распоряжение Администрации Томской области от 17.09.2012 N 102-р-в "Об использовании бюджетных ассигнований резервного фонда финансирования непредвиденных расходов Администрации Томской области"</t>
  </si>
  <si>
    <t>п.6) п.п.а)</t>
  </si>
  <si>
    <t>Иные межбюджетные трансферты из резервного фонда финансирования непредвиденных расходов АТО ( в соответствии с распоряжением АТО от 17.09.2012 № 102-р-в) на укрепление материально-технической базы Чажемтовского КДЦ</t>
  </si>
  <si>
    <t>МБТ на компенсацию произведенных расходов местного бюджета, связанных с ликвидацией черезвычайной ситуации регионального характера в лесах на территории ТО в соответствии с распоряжением АТО от 10.10.2012 № 882-ра)</t>
  </si>
  <si>
    <t>Расходы в соответствии с распоряжением АТО от 11.10.2012 № 126-р-в (на приобретение элементов детской игровой площадки)</t>
  </si>
  <si>
    <t>Расходы в соответствии с распоряжением АТО от 11.10.2012 № 126-р-в (ТСШ на укрепление материально-технической базы)</t>
  </si>
  <si>
    <t>Иные межбюджетные трансферты на награждение сельскогот поселения, победителя районной сельскохозяйственной ярмарки "Дары осени"</t>
  </si>
  <si>
    <t>Субвенция по обеспечению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(федеральный бюджет)</t>
  </si>
  <si>
    <t>Иные межбюджетные трансферты из резервного фонда финансирования непредвиденных расходов АТО (в соответствии с распоряжением АТО от 11.10.2012 № 126-р-в на укрепление материально-технической базы СКДЦ)</t>
  </si>
  <si>
    <t>пп.б), п. 6)</t>
  </si>
  <si>
    <t>17.09.2012- 30.12.2012</t>
  </si>
  <si>
    <t>Распоряжение Администрации Томской области от 11.10.2012 N 126-р-в "Об использовании бюджетных ассигнований резервного фонда финансирования непредвиденных расходов Администрации Томской области"</t>
  </si>
  <si>
    <t>п.5) п.п.а)</t>
  </si>
  <si>
    <t>11.10.2012- 30.12.2012</t>
  </si>
  <si>
    <t>п.5) п.п.б)</t>
  </si>
  <si>
    <t>Распоряжение Администрации Томской области от 10.10.2011 № 882-ра "О выделении бюджетных ассигнований бюджету муниципального образования "Колпашевский район"</t>
  </si>
  <si>
    <t>10.10.2012- 31.12.2012</t>
  </si>
  <si>
    <t>Постановление Администрации Колпашевского района от 17.10.2012 № 1031 "О расходовании средств субсидии из резервного фонда финансирования непредвиденных расходов Администрации Томской области на приобретение мебели муниципальному бюджетному учреждению здравоохранения "Колпашевская центральная районная больница"</t>
  </si>
  <si>
    <t>14.10.2012- 20.12.2012</t>
  </si>
  <si>
    <t>Постановление Администрации Колпашевского района от 01.11.2012 № 1084 "О порядке расходования средств бюджетных ассигнований, выделенных из резервного фонда Администрации Томской области по ликвидации последствий стихийных бедствий и других серезвычайных ситуаций бюджету муниципального образования "Колпашевский район"</t>
  </si>
  <si>
    <t>01.112012- 20.11.2012</t>
  </si>
  <si>
    <t>Федеральный Закон от 02.03.2007 № 25-ФЗ "О муниципальной службе в РФ"</t>
  </si>
  <si>
    <t>ст. 34</t>
  </si>
  <si>
    <t>01.06.2007, не установлен</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</si>
  <si>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</si>
  <si>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ст.17, п.1, п.п. 3</t>
  </si>
  <si>
    <t>06.10.2003, не установлен</t>
  </si>
  <si>
    <t>06.10.2003, не утановлен</t>
  </si>
  <si>
    <t xml:space="preserve">06.10.2003, не установлен </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</si>
  <si>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</si>
  <si>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</si>
  <si>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</si>
  <si>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РФ;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</si>
  <si>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создание условий для оказания медецинской помощи населению на территории муниципального района (за исключением территорий поселений, включенных в утвержденный Правительством РФ перечень территорий, население которых обеспечивается медецинской помощью в медецинских учреждениях, подведомственных федеральному органу исполнительной власти,осуществляющему функции по медико- санитарному обеспечению населения отдельных территорий) в соответствии с территориальной программой государственных гарантий оказания гражданам РФ бесплатной медецинской помощи</t>
  </si>
  <si>
    <t>2.1.39.</t>
  </si>
  <si>
    <t>осуществление муниципального лесного контроля</t>
  </si>
  <si>
    <t>2.1.40.</t>
  </si>
  <si>
    <t>осуществление муниципального контроля за проведением муниципальных лотерей</t>
  </si>
  <si>
    <t>2.1.41.</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</si>
  <si>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</si>
  <si>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</si>
  <si>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2.1.43.</t>
  </si>
  <si>
    <t>осуществление мер по противодействию коррупции в границах муниципального района</t>
  </si>
  <si>
    <t>2.1.80.</t>
  </si>
  <si>
    <t>организация теплоснабжения, предусмотренного Федеральным законом "О теплоснабжении"</t>
  </si>
  <si>
    <t>ст.34, п.9</t>
  </si>
  <si>
    <t>ст. 325, 326</t>
  </si>
  <si>
    <t>ст.57, п.1, п.2</t>
  </si>
  <si>
    <t>ст. 22, п.1</t>
  </si>
  <si>
    <t>Федеральный закон от 26.11.1996 № 138-ФЗ "Об обеспечении конституционных прав граждан Российской Федерации избирать и быть избранными в органы местного самоуправления"</t>
  </si>
  <si>
    <t>ст.4, п.4</t>
  </si>
  <si>
    <t>02.12.1996, не установлен</t>
  </si>
  <si>
    <t>Закон Томской области от 14.02.2005 № 29-ОЗ "О муниципальных выборах в Томской области"</t>
  </si>
  <si>
    <t>ст. 46, п.1</t>
  </si>
  <si>
    <t>26.02.2005, не установлен</t>
  </si>
  <si>
    <t>с. 17, п.1, п.п. 5</t>
  </si>
  <si>
    <t>Закон Томской области от 10.04.2003 № 50-ОЗ "Об избирательных комиссиях, комиссиях референдума в Томской области"</t>
  </si>
  <si>
    <t>ст.15, п.1</t>
  </si>
  <si>
    <t>06.05.2003, не установлен</t>
  </si>
  <si>
    <t>Федеральный закон от 10.01.2003 № 20-ФЗ "О Государственной автоматизированной системе Российской Федерации "Выборы"</t>
  </si>
  <si>
    <t>ст.25, п.1, п.2</t>
  </si>
  <si>
    <t>24.01.2003, не установлен</t>
  </si>
  <si>
    <t>ст. 17, п.1, п.п.7</t>
  </si>
  <si>
    <t>Гл.3, ст.15, п.1, п.п.1</t>
  </si>
  <si>
    <t>ст.17.1, п.п. 1</t>
  </si>
  <si>
    <t>ст. 15, п.1, п.п. 3</t>
  </si>
  <si>
    <t>Федеральный закон от 21.12.2001 № 178-ФЗ "О приватизации государственного и муниципального имущества"</t>
  </si>
  <si>
    <t>ст. 6, п.2</t>
  </si>
  <si>
    <t>26.04.2002, не установлен</t>
  </si>
  <si>
    <t>Федеральный закон 14.11.2002 № 161-ФЗ "О государственных и муниципальных унитарных предприятиях"</t>
  </si>
  <si>
    <t>ст. 2, п. 1, абз.3</t>
  </si>
  <si>
    <t>02.12.2002, не установлен</t>
  </si>
  <si>
    <t>ст. 15, п.1, п.п. 4</t>
  </si>
  <si>
    <t>Гл.3, ст.15, п.1, п.п.6</t>
  </si>
  <si>
    <t>Федеральный Закон от 21.12.1994 № 68-ФЗ "О защите населения и территорий от чрезвычайных ситуаций природного и техногенного характера"</t>
  </si>
  <si>
    <t>ст. 24</t>
  </si>
  <si>
    <t>24.12.1994, не установлен</t>
  </si>
  <si>
    <t>п.8, п.9, п.20, п.30</t>
  </si>
  <si>
    <t>20.01.2004, не установлен</t>
  </si>
  <si>
    <t>п. 32</t>
  </si>
  <si>
    <t>ст.31 п. 1</t>
  </si>
  <si>
    <t>31.07.1992, не установлен</t>
  </si>
  <si>
    <t>ст. 15, п. 1, п.п. 12</t>
  </si>
  <si>
    <t>Гл.3, ст.15, п.1, п.п. 14</t>
  </si>
  <si>
    <t>Гл.3, ст.15, п. 1, п.п. 16</t>
  </si>
  <si>
    <t>Гл.3, ст.15, п. 1, п.п. 18</t>
  </si>
  <si>
    <t>Гл.3, ст.15, п. 1, п.п. 19.2</t>
  </si>
  <si>
    <t>Закон Томской области от 13.06.2007 № 112-ОЗ "О реализации государственной политики в сфере культуры и искусства 
на территории Томской области"</t>
  </si>
  <si>
    <t>ст. 10</t>
  </si>
  <si>
    <t>08.07.2007, не установлен</t>
  </si>
  <si>
    <t>Гл.3, ст.15, п. 1, п.п. 20</t>
  </si>
  <si>
    <t>Гл.3, ст.15, п. 1, п.п. 21</t>
  </si>
  <si>
    <t>Гл.3, ст.15, п.1, п.п. 25</t>
  </si>
  <si>
    <t>Федеральный закон от 04.12.2007 № 329-ФЗ "О физической культуре и спорте в Российской Федерации"</t>
  </si>
  <si>
    <t>ст. 38, п. 4</t>
  </si>
  <si>
    <t>Гл.3, ст.17, п. 1, п.п. 8.1.</t>
  </si>
  <si>
    <t>Гл.3, ст.17, п. 1, п.п. 8.2</t>
  </si>
  <si>
    <t>28.06.1999, не установлен</t>
  </si>
  <si>
    <t>ст. 4, п. 2; ст. 4, п. 5</t>
  </si>
  <si>
    <t>ст. 60, п. 3</t>
  </si>
  <si>
    <t>ст. 7,п. 1, 2</t>
  </si>
  <si>
    <t>01.01.2006 - 31.12.2012</t>
  </si>
  <si>
    <t>ст.29, п. 1, п.п.6.1</t>
  </si>
  <si>
    <t>ст. 5, п. 14</t>
  </si>
  <si>
    <t>23.08.2004, не установлен</t>
  </si>
  <si>
    <t xml:space="preserve">Закон Томской области от 29.12.2007 N 320-ОЗ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</si>
  <si>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23.12.1998, не установлен</t>
  </si>
  <si>
    <t>Закон Томской области от 27.03.2009 № 38-ОЗ "О наделении органов местного самоуправления отдельными государственными полномочиями по осуществлению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Томской области"</t>
  </si>
  <si>
    <t>11.04.2009- 31.12.2012</t>
  </si>
  <si>
    <t>ст. 7 п.1</t>
  </si>
  <si>
    <t>0501</t>
  </si>
  <si>
    <t>п. 1,2</t>
  </si>
  <si>
    <t>п. 2, п.п. 5</t>
  </si>
  <si>
    <t xml:space="preserve">Соглашение от 10.08.2012 № 196/12 о предоставлении в 2012 году бюджету МО "Колпашевский район" ИМБТ на комплектование книжных фондов библиотек муни ципальных образований, заключенное м/у МО "Колпашевский район" и Департаментом по культуре ТО </t>
  </si>
  <si>
    <t>10.08.2012- 31.12.2012</t>
  </si>
  <si>
    <t>Решение Думы Колпашевского района от 28.01.2010 № 788 "О порядке использования средств ИМБТ на комплектование книжных фондов библиотек муниципальных образований Колпашевского района" (в редакции от 29.08.2011 № 99, от 10.09.2012 № 119)</t>
  </si>
  <si>
    <t>28.01.2010- 31.12.2012</t>
  </si>
  <si>
    <t>Иные межбюджетные трансферты на осуществление полномочий по первичному воинскому учету на территориях, где отсутствуют военные коммиссариаты</t>
  </si>
  <si>
    <t>0203</t>
  </si>
  <si>
    <t>п. 21</t>
  </si>
  <si>
    <t>Федеральный закон от 28.03.1998 N 53-ФЗ "О воинской обязанности и военной службе"</t>
  </si>
  <si>
    <t>ст. 8, п. 2</t>
  </si>
  <si>
    <t>30.03.1998, не установлен</t>
  </si>
  <si>
    <t xml:space="preserve">Закон Томской области от 29.12.2007 № 308-ОЗ "Об утверждении Методики распределения субвенций, предоставляемых бюджетам поселений Томской области на осуществление полномочий по первичному воинскому учету на территориях, где отсутствуют военные комиссариаты" </t>
  </si>
  <si>
    <t>п. 2, п.п. 2</t>
  </si>
  <si>
    <t xml:space="preserve">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
</t>
  </si>
  <si>
    <t>01.01.2012- 28.12.2012</t>
  </si>
  <si>
    <t>п. 2, п.п. 1</t>
  </si>
  <si>
    <t>Решение Думы Колпашевского района от 16.07.2012 № 105 "О предоставлении бюджету муниципального образования «Колпашевское городское поселение» иных межбюджетных трансфертов на строительство автодороги ул.Красноармейской– ул.Чкалова– ул.Островского в г.Колпашево Томской области"</t>
  </si>
  <si>
    <t>16.07.2012- 28.12.2012</t>
  </si>
  <si>
    <t>п. 2, п.п. 3</t>
  </si>
  <si>
    <t>Решение Думы Колпашевского района от 25.04.2011 № 37 "О порядке использования средств субсидии на компенсацию расходов по организации электоснабжения от дизельных электростанций в МО "Колпашевский район" (в редакции от 16.07.2012 № 93, от 29.10.2012 № 130)</t>
  </si>
  <si>
    <t>25.04.2012, не установлен</t>
  </si>
  <si>
    <t>Постановление Администрации Колпашевского района от 15.10.2010 № 1294 "Об утверждении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 (в редакции от 16.03.2011 № 198, от 10.08.2011 № 809, от 05.09.2011 № 910, от 13.02.2012 № 136, от 14.05.2012 № 447, от 06.06.2012 № 547)</t>
  </si>
  <si>
    <t>Решение Думы Колпашевского района от 25.04.2011 № 41"О порядке предоставления поселениям Колпашевского района иных межбюджетных трансфертов на реализацию мероприятий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t>
  </si>
  <si>
    <t>Постановление Администрации Колпашевского района от 06.06.2012 № 548 "О распределении средств иных межбюджетных трансфертов на реализацию мероприятий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 в 2012 году"</t>
  </si>
  <si>
    <t>25.04.2011- 31.12.2013</t>
  </si>
  <si>
    <t>06.06.2012- 31.12.2012</t>
  </si>
  <si>
    <t>Решение Думы Колпашевского района от 23.04.2012 № 55 "О предоставлении ИМБТ на подготовку генерального плана, правил землепользования и застройки Колпашевского городского поселения Колпашевского района Томской области"</t>
  </si>
  <si>
    <t>23.04.2012- 23.12.2012</t>
  </si>
  <si>
    <t>1403</t>
  </si>
  <si>
    <t>Постановление Администрации Колпашевского района от 23.09.2011 № 1013 "О порядке предоставления бюджетных ассигнований муниципальному образованию "Чажемтовское сельское поселение" на строительство инженерной инфраструктуры территорий индивидуальной застройки в с.Чажемто" (в редакции от 27.12.2011 № 1392)</t>
  </si>
  <si>
    <t>Решение Думы Колпашевского района от 25.11.2011 № 150 "О порядке расходования бюджетных ассигнований, выделенных бюджету муниципального образования "Колпашевский район" из бюджета Томской области на исполнение судебных решений"</t>
  </si>
  <si>
    <t>Постановление Администрации Колпашевского района от 05.12.2011 № 1284 "О распределении средств иных межбюджетных трансфертов на исполнение решения Колпашевского городского суда Томской области от 11.10.2011 № 2-985/2011" (в редакции от 13.02.2012 № 132)</t>
  </si>
  <si>
    <t>05.12.2011- 12.04.2012</t>
  </si>
  <si>
    <t>25.11.2011, не установлен</t>
  </si>
  <si>
    <t>Решение Думы Колпашевского района от 23.04.2012 № 62 "О предоставлении иных межбюджетных трансфертов бюджету муниципального образования «Колпашевское городское поселение» на строительство комплексной спортивной площадки              в с.Тогур Колпашевского района"</t>
  </si>
  <si>
    <t>23.04.2012- 25.12.2012</t>
  </si>
  <si>
    <t>Решение Думы Колпашевского района от 23.04.2012 № 63 "О предоставлении иных межбюджетных трансфертов бюджету муниципального образования «Колпашевское городское поселение» на изготовление и установку детских игровых площадок."</t>
  </si>
  <si>
    <t>23.04.2012- 10.09.2012</t>
  </si>
  <si>
    <t>Постановление Администрации Колпашевского района от 26.06.2012 № 614 "О порядке использования средств субсидии из областного бюджета Томской области на установку приборов учёта потребления теплоэнергетических ресурсов в муниципальных учреждениях Томской области"</t>
  </si>
  <si>
    <t>0113, 0801,</t>
  </si>
  <si>
    <t>Решение Думы Колпашевского района от 23.04.2012 № 71 " О предоставлении иных межбюджетных трансфертов бюджету муниципального образования «Колпашевское городское поселение» на разработку, экспертизу проектно-сметной документации, приобретение, установку водогрейных котлов, сборку блочно-модульной котельной «Звезда» г.Колпашево и подключение её к инженерным сетям с целью предупреждения чрезвычайной ситуации"</t>
  </si>
  <si>
    <t>Решение Думы Колпашевского района от 23.04.2012 № 72 "О предоставлении иных межбюджетных трансфертов бюджету муниципального образования «Колпашевское городское поселение» на проведение аварийно-восстановительных работ на котельной «Лазо» по адресу: г.Колпашево, ул.Крылова, 9/2"</t>
  </si>
  <si>
    <t>Постановление Администрации Колпашевского района от 14.05.2012 № 449 "О порядке использования средств субсидии из областного бюджета на строительство автодороги ул.Красноармейской - ул.Чкалова - ул.Островского в г.Колпашево Томской области"</t>
  </si>
  <si>
    <t>Решение Думы Колпашевского района от 13.02.2012 № 36 "О предоставлении ИМБТ бюджету МО "Колпашевское городское поселение" на оплату проектирования газовой модульной котельной "Школа 4" (в редакции от 29.10.2012 № 134)</t>
  </si>
  <si>
    <t>13.02.2012- 23.12.2012</t>
  </si>
  <si>
    <t>14.05.2012- 28.12.2012</t>
  </si>
  <si>
    <t>23.04.2012- 20.12.2012</t>
  </si>
  <si>
    <t>26.06.2012- 05.07.2012</t>
  </si>
  <si>
    <t>Решение Думы Колпашевского района от 13.02.2012 № 40 "О предоставлении ИМБТ бюджету МО "Колпашевское городское поселение" на софинансирование мероприятий по капитальному ремонту многоквартирных домов"</t>
  </si>
  <si>
    <t>Решение Думы Колпашевского района от 13.02.2012 № 37 "О предоставлении ИМБТ бюджету МО "Колпашевское городское поселение" на приобретение сетей теплоснабжения для газовых котельных"</t>
  </si>
  <si>
    <t>Решение Думы Колпашевского района от 13.02.2012 № 38 "О предоставлении ИМБТ бюджету МО "Колпашевское городское поселение" на приобретение мотокос и приобретение и установку остановочных павильонов" (в редакции от 23.04.2012 № 74)</t>
  </si>
  <si>
    <t>Решение Думы Колпашевского района от 13.02.2012 № 39 "О предоставлении ИМБТ бюджету МО "Колпашевское городское поселение" на проведение работ по аварийно-спасательным и аварийно-восстановительным работам по газовой котельной "Лазо" (г.Колпашево, ул. Крылова, 9/2)"</t>
  </si>
  <si>
    <t>Решение Думы Колпашевского района от 13.02.2012 № 28 "О предоставлении ИМБТ бюджету МО "Новоселовское сельское поселение" на укрепление материально-технической базы МБУ "Новоселовский СКДЦ"</t>
  </si>
  <si>
    <t>Решение Думы Колпашевского района от 13.02.2012 № 29 "О предоставлении ИМБТ бюджету МО "Чажемтовское сельское поселение" на укрепление материально-технической базы МКУ "Чажемтовский СКДЦ"</t>
  </si>
  <si>
    <t>Решение Думы Колпашевского района от 13.02.2012 № 30 "О предоставлении ИМБТ бюджету МО "Дальненское сельское поселение" на укрепление материально-технической базы МКУ "Дальненский СКДЦ"</t>
  </si>
  <si>
    <t>Решение Думы Колпашевского района от 13.02.2012 № 31 "О предоставлении ИМБТ бюджету МО "Инкинское сельское поселение" на укрепление материально-технической базы МКУ "Инкинский СКДЦ"</t>
  </si>
  <si>
    <t>Решение Думы Колпашевского района от 13.02.2012 № 32 "О предоставлении ИМБТ бюджету МО "Копыловское сельское поселение" на укрепление материально-технической базы МКУ "Копыловский СКДЦ"</t>
  </si>
  <si>
    <t>Решение Думы Колпашевского района от 13.02.2012 № 33 "О предоставлении ИМБТ бюджету МО "Саровское сельское поселение" на укрепление материально-технической базы МКУ "Саровский СКДЦ"</t>
  </si>
  <si>
    <t>Решение Думы Колпашевского района от 13.02.2012 № 34 "О предоставлении ИМБТ бюджету МО "Национальное Иванкинское сельское поселение" на приобретение травокосилки в рамках благоустройства Иванкинского поселения"</t>
  </si>
  <si>
    <t>13.02.2012- 20.12.2012</t>
  </si>
  <si>
    <t>13.02.2012- 25.12.2012</t>
  </si>
  <si>
    <t>13.02.2012- 30.10.2012</t>
  </si>
  <si>
    <t>Решение Думы Колпашевского района от 13.02.2012 № 41 "О предоставлении ИМБТ на приобретение травокосилок в рамках благоустройства Новогоренского поселения поселения"</t>
  </si>
  <si>
    <t>Решение Думы Колпашевского района от 23.04.2012 № 70 "О предоставлении иных межбюджетных трансфертов бюджетам поселений Колпашевского района на организацию благоустройства территорий"</t>
  </si>
  <si>
    <t>Распоряжение Администрации Колпашевского района от 19.04.2012 № 208 "О распределении средств иных межбюджетных трансфертов на поощрение поселенческих команд, участвовавших в 5-й зимней межпоселенческой спартакиаде в с.Новосёлово, из бюджета муниципального образования "Колпашевский район" в 2012 году"</t>
  </si>
  <si>
    <t>Решение Думы Колпашевского района от 23.04.2012 № 76 " О предоставлении иных межбюджетных трансфертов бюджету муниципального образования «Колпашевское городское поселение» на софинансирование расходов на строительство газовых котельных взамен нефтяных"</t>
  </si>
  <si>
    <t>23.04.2012- 15.12.2012</t>
  </si>
  <si>
    <t>19.04.2012- 01.07.2012</t>
  </si>
  <si>
    <t>Решение Думы Колпашевского района от 25.11.2011 № 142 "О порядке расходования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 резервного фонда Администрации Томской области по ликвидации последствий стихийных бедствий и других чрезвычайных ситуаций, целевого финансового резерва Томской области для предупреждения чрезвычайных ситуаций"</t>
  </si>
  <si>
    <t>Постановление Администрации Колпашевского района от 15.02.2012 № 139 "О порядке расходования средств бюджетных ассигнований, выделенных из резервного фонда Администрации Томской области по ликвидации последствий стихийных бедствий и других чрезвычайных ситуаций бюджету муниципального образования «Колпашевский район», на приобретение топлива для котельных муниципального унитарного предприятия «Пламя» с целью ликвидации чрезвычайной ситуации"</t>
  </si>
  <si>
    <t>15.02.2012- 15.07.2012</t>
  </si>
  <si>
    <t>Решение Думы Колпашевского района от 25.11.2011 № 150 "О порядке расходования бюджетных ассигнований, выделенных бюджету муниципального образования «Колпашевский район» из бюджета Томской области на исполнение судебных решений"</t>
  </si>
  <si>
    <t>Постановление Администрации Колпашевского района от 23.08.2012 № 823 "О распределении средств  иных межбюджетных трансфертов Колпашевскому городскому поселению  на исполнение  решений Колпашевского городского суда Томской области"</t>
  </si>
  <si>
    <t>Постановление Администрации Колпашевского района от 17.04.2012 № 364 "О распределении средств иных межбюджетных трансфертов Колпашевскому городскому поселению и Саровскому сельскому поселению на исполнение решений Колпашевского городского суда Томской области" (в редакции от 08.06.2012 № 551)</t>
  </si>
  <si>
    <t>Постановление Администрации Колпашевского района от 24.09.2012 № 940 "О распределении средств иных межбюджетных трансфертов Колпашевскому городскому поселению и Саровскому сельскому поселению на исполнение решений Колпашевского городского суда Томской области"</t>
  </si>
  <si>
    <t>23.08.2012- 10.10.2012</t>
  </si>
  <si>
    <t>17.04.2012- 30.06.2012</t>
  </si>
  <si>
    <t>24.09.2012- 20.12.2012</t>
  </si>
  <si>
    <t>Решение Думы Колпашевского района от 23.04.2012 № 73 "О предоставлении иных межбюджетных трансфертов бюджетам муниципальных образований Колпашевского района в качестве денежной премии победителям областного ежегодного конкурса на звание «Самое благоустроенное муниципальное образование Томской области"</t>
  </si>
  <si>
    <t>Решение Думы Колпашевского района от 23.04.2012 № 77 "О предоставлении субсидии бюджету муниципального образования «Колпашевское городское поселение на обеспечение мероприятий по капитальному ремонту многоквартирных домов за счет средств, поступивших от государственной корпорации - Фонд содействия реформированию ЖКХ на 2012 год"</t>
  </si>
  <si>
    <t>Постановление Администрации Колпашевского района от 22.05.2012 № 485 "О порядке использования средств субсидии из областного бюджета на приобретение в муниципальную собственность газораспределительных сетей г.Колпашево и с. Тогур Колпашевского района Томской области, 5 очередь, 2 этап"</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</si>
  <si>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</si>
  <si>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п. 1,2,3</t>
  </si>
  <si>
    <t>22.05.2012- 18.12.2012</t>
  </si>
  <si>
    <t>Постановление Администрации Колпашевского района от 13.06.2012 № 558 "О расходовании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</si>
  <si>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13.06.2012- 15.12.2012</t>
  </si>
  <si>
    <t>16.07.2012- 23.12.2012</t>
  </si>
  <si>
    <t>Решение Думы Колпашевского района от 16.07.2012 № 100 "О предоставлении иных межбюджетных трансфертов бюджету муниципального образования «Колпашевское городское поселение» на приобретение световых приборов для МБУ «ЦКД»</t>
  </si>
  <si>
    <t>Решение Думы Колпашевского района от 16.07.2012 № 101 "О предоставлении иных межбюджетных трансфертов бюджету муниципального образования «Инкинское сельское поселение» на приобретение запасных частей для ремонта автомобиля"</t>
  </si>
  <si>
    <t xml:space="preserve">Решение Думы Колпашевского района от 16.07.2012 № 106 "О  предоставлении иных межбюджетных трансфертов бюджету муниципального образования «Новоселовское сельское поселение» на приобретение и установку электрического котла в котельной с.Белояровка и бюджету муниципального образования «Новогоренское сельское поселение» на организацию уличного освещения в с.Новогорное"
</t>
  </si>
  <si>
    <t>Решение Думы Колпашевского района от 16.07.2012 № 107 "О предоставлении иных межбюджетных трансфертов бюджету муниципального образования «Саровское сельское поселение» на расходы, связанные с работами по замене участка тепловых сетей"</t>
  </si>
  <si>
    <t xml:space="preserve">Решение Думы Колпашевского района от 16.07.2012 № 102 "О предоставлении иных межбюджетных трансфертов бюджету муниципального образования «Копыловское сельское поселение» на проведение мероприятий к 110-летию с.Копыловка"
</t>
  </si>
  <si>
    <t>Распоряжение Администрации Колпашевского района от 23.07.2012 № 576 "О предоставлении иных межбюджетных трансфертов на организацию и проведение летней межпоселенческой спартакиады в с.Чажемто"</t>
  </si>
  <si>
    <t>Постаноление Администрации Колпашевского района от 19.06.2012 № 575 "О порядке расходования средств бюджетных ассигнований, выделенных из целевого финансового резерва Томской области для предупреждения черезвычайных ситуаций на ремонт и оборудование пожарных водоисточников и устройство противопожарных защитных полос"</t>
  </si>
  <si>
    <t xml:space="preserve">Постановление Администрации Колпашевского района от 11.07.2012 № 672 "О порядкеиспользования средств субсидии из областного бюджета на реализацию мероприятий подрограммы "Повышение энергетической эффективности котельных в Томской области" в рамках долгосрочной целевой программы "энергоснабжение и повышение энергетической эффективности на территории Томской области на 2010-2012 годы и на перспективу до 2020 года" </t>
  </si>
  <si>
    <t>23.07.2012- 10.11.2012</t>
  </si>
  <si>
    <t>19.06.2012- 15.12.2012</t>
  </si>
  <si>
    <t>11.07.2012- 18.12.2012</t>
  </si>
  <si>
    <t>1102,0502,0503</t>
  </si>
  <si>
    <t>Постановление Администрации Колпашевского района от 30.07.2012 № 730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</si>
  <si>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Постановление Администрации Колпашевского района от 30.07.2012 № 731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</si>
  <si>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Постановление Администрации Колпашевского района от 30.07.2012 № 736 "О порядке использования средств бюджетных ассигнований резервного фонда финансирования непредвиденных расходов Администрации Томской области Администрации Чажемтовского сельского поселения на бурение скважины для хозяйственного водоснабжения жителей с.Старо-Абрамкино"</t>
  </si>
  <si>
    <t>Постановление Администрации Колпашевского района от 30.07.2012 № 732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</si>
  <si>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Распоряжение Администрации Колпашевского района от 04.09.2012 № 674 "О распределении средств иных межбюджетных трансфертов на поощрение поселенческих команд, учавствовавших в 7-й летней межпоселенческой спартакиаде в с.Чажемто, из бюджета муниципального образования "Колпашевский район" в 2012 году"</t>
  </si>
  <si>
    <t>30.07.2012- 20.12.2012</t>
  </si>
  <si>
    <t>04.09.2012- 23.12.2012</t>
  </si>
  <si>
    <t>п. 1,2,3,5</t>
  </si>
  <si>
    <t>26.07.2012- 15.12.2012</t>
  </si>
  <si>
    <t>Решение Думы Колпашевского района от 10.09.2012 № 123 "О предоставлении иных межбюджетных трансфертов на изготовление проекта планировки микрорайона индивидуальной застройки "Юбилейный" в селе Чажемто Колпашевского района Томской области муниципальному образованию "Чажемтовское сельское поселение"</t>
  </si>
  <si>
    <t>Решение Думы Колпашевского района от 10.09.2012 № 126 "О предоставлении иных межбюджетных трансфертов бюджету муниципального образования "Саровское сельское поселение" на благоустройство поселения"</t>
  </si>
  <si>
    <t>Решение Думы Колпашевского района от 10.09.2012 № 125 "О предоставлении иных межбюджетных трансфертов бюджету муниципального образования "Инкинское сельское поселение" на капитальный ремонт муниципального жилья"</t>
  </si>
  <si>
    <t>Постановление Администрации Колпашевского района от 06.08.2012 № 762 "О порядке расходования средств бюджетных ассигнований, выделенных из целевого финансового резерва Томской области для предупреждения чрезвычайных ситуаций  бюджету муниципального образования «Колпашевский район», на ремонт аварийного объекта котельной  с.Чажемто"</t>
  </si>
  <si>
    <t>Постановление Администрации Колпашевского района от 06.08.2012 № 763 "О порядке расходования средств бюджетных ассигнований, выделенных из целевого финансового резерва Томской области для предупреждения чрезвычайных ситуаций  бюджету муниципального образования «Колпашевский район», на приобретение дизельной электрической станции в с.Копыловка"</t>
  </si>
  <si>
    <t>Постановление Администрации Колпашевского района от 06.08.2012 № 764 "О порядке расходования средств бюджетных ассигнований, выделенных из целевого финансового резерва Томской области для предупреждения чрезвычайных ситуаций  бюджету муниципального образования «Колпашевский район», на приобретение двигателя в п.Куржино"</t>
  </si>
  <si>
    <t>10.09.2012- 23.12.2012</t>
  </si>
  <si>
    <t>06.08.2012- 20.12.2012</t>
  </si>
  <si>
    <t>0503, 0801</t>
  </si>
  <si>
    <t>Постановление Администрации Колпашевского района от 15.08.2012 № 803 "О порядке расходования средств субсидии из областного бюджета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</si>
  <si>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Постановление Администрации Колпашевского района от 04.09.2012 № 885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</si>
  <si>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Постановление Администрации Колпашевского района от 10.09.2012 № 899 "О порядке использования средств бюджетных ассигнований резервного фонда финансирования непредвиденных расходов Администрации Томской области Администрации Новогоренского сельского поселения на приобретение глубинного насоса"</t>
  </si>
  <si>
    <t>Постановление Администрации Колпрашевского района от 30.08.2012 № 852 "О порядке расходования средств на подготовку генеральных планов, правил землепользования и застройки сельских поселений Колпашевского района"</t>
  </si>
  <si>
    <t>Постановление Администрации Колпашевского района от 01.10.2012 № 972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</si>
  <si>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15.08.2012- 28.12.2012</t>
  </si>
  <si>
    <t>04.09.2012- 25.12.2012</t>
  </si>
  <si>
    <t>10.09.2012- 20.12.2012</t>
  </si>
  <si>
    <t>30.08.2012- 25.12.2012</t>
  </si>
  <si>
    <t>01.10.2012- 20.12.2012</t>
  </si>
  <si>
    <t>Решение Думы Колпашевского района от 23.04.2012 № 58 "О порядке использования в 2012 году средств бюджета муниципального образования «Колпашевский район» на проведение мероприятий в рамках реализации комплексной программы социально-экономического развития муниципального образования «Колпашевский район» на 2008–2012 годы» в разделе «Сельское хозяйство»</t>
  </si>
  <si>
    <t>Распоряжение Администрации Колпашевского района от 28.09.2012 № 706 "О предоставлении средств иных межбюджетных трансфертов на награждение сельского поселения, победителя районной сельскохозяйственной ярмарки «Дары осени» из бюджета муниципального образования «Колпашевский район» в 2012 году"</t>
  </si>
  <si>
    <t>Постановление Главы Колпашевского района от 25.10.2012 № 87 "О порядке расходования бюджетных ассигнований за счёт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 (Инкинский СКДЦ - 35,76 тыс. руб.)</t>
  </si>
  <si>
    <t>Постановление Главы Колпашевского района от 25.10.2012 № 88 "О порядке расходования бюджетных ассигнований за счёт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 (Новосёловский СКДЦ - 24 тыс.руб.)</t>
  </si>
  <si>
    <t>п. 4,5</t>
  </si>
  <si>
    <t>28.09.2012- 15.11.2012</t>
  </si>
  <si>
    <t>25.10.2012- 25.12.2012</t>
  </si>
  <si>
    <t>Постановление Администрации Томской области от 27.02.2008 N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</si>
  <si>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п. 5 Порядка</t>
  </si>
  <si>
    <t>27.02.2008, не установлен</t>
  </si>
  <si>
    <t>22.01.2008, не установлен</t>
  </si>
  <si>
    <t>Постановление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t>
  </si>
  <si>
    <t>п.п.11 п. 2</t>
  </si>
  <si>
    <t>Постановление Администрации Томской области от 22.01.2008 N 4а "Об утверждении Порядка использования бюджетных ассигнований резервного фонда Администрации Томской области по ликвидации последствий стихийных бедствий и других чрезвычайных ситуаций"</t>
  </si>
  <si>
    <t>п.п. 17 п. 2</t>
  </si>
  <si>
    <t>Федеральный закон от 21 июля 2007 г. N 185-ФЗ
"О Фонде содействия реформированию жилищно-коммунального хозяйства"</t>
  </si>
  <si>
    <t>ст.4 п.1</t>
  </si>
  <si>
    <t>21.07.2007- 31.12.2012</t>
  </si>
  <si>
    <t>п. 5</t>
  </si>
  <si>
    <t>пп 37</t>
  </si>
  <si>
    <t>13.05.2010, не утвержден</t>
  </si>
  <si>
    <t>Иные межбюджетные трансферты на оплату проектирования газовой модульной котельной "Урожай"</t>
  </si>
  <si>
    <t>Иные межбюджетные трансферты на оплату мероприятий по ремонту дизельной электростанции в связи с установкой дизельного генератора</t>
  </si>
  <si>
    <t>Иные межбюджетные трансферты на благоустройство поселения, в том числе утилизацию бытовых отходов</t>
  </si>
  <si>
    <t>Иные межбюджетные трансферты на расходы в соответствии с распоряжением АТО от 24.10.2012 № 134-ра (на приобретение материалов для ремонта жилого дома в Чажемто)</t>
  </si>
  <si>
    <t>Иные межбюджетные трансферты на расходы в соответствии с распоряжением АТО от 19.11.2012 № 148-р-в (на укрепление материально-технической базы)</t>
  </si>
  <si>
    <t>Субсидия на проведение энергетических обследований в мунципальных учреждениях Томской области, не осуществляющих приносящую доход деятельности или осуществляющих указанную деятельность, объем доходов от которой составляет менее 25% от объема бюджетных ассигнований, предоставленных муниципальным учреждениям из местного бюджета (за счет средств федерального бюджета)</t>
  </si>
  <si>
    <t>МБТ в соответствии с распоряжением АТО от 26.11.2012 № 162-р-в</t>
  </si>
  <si>
    <t>Расходы в соответствии с распоряжением АТО от 24.10.2012 № 134-р-в (на укрепление материально-технической базы)</t>
  </si>
  <si>
    <t>Реализация программ модернизации здравоохранения субъектов Российской Федерации в части укрепления материально- технической базы медецинских учреждений</t>
  </si>
  <si>
    <t>Реконструкция стадиона МАОУ ДОД "ДЮСШ им. О. Рахматулиной" в г.Колпашево Колпашевского района (за счет средств областного бюджета)</t>
  </si>
  <si>
    <t xml:space="preserve">Расходы на реализацию районной целевой программы  "Поддержка и развитие малого и среднего предпринимательства  в МО "Колпашевский район"на 2013-2018 годы" </t>
  </si>
  <si>
    <t>Обеспечение участия спортивных сборных команд муниципальных районов и  городских округов Томской  области в официальных региональных спортивных, физкультурных мероприятиях, проводимых на территории г.Томска, за исключением спортивных сборных команд муниципального образования "Город Томск", муниципального образования "Городской округ- закрытое административно-территориальное образование Северск Томской области", муниципального образования "Томский район"</t>
  </si>
  <si>
    <t>Капитальный ремонт государственного жилищного фонда субъектов Российской Федерации и муниципального  жилищного фонда</t>
  </si>
  <si>
    <t>Строительство отстойника промывочной воды для станции обезжелезивания в г.Колпашево Томской области</t>
  </si>
  <si>
    <t>Приобретение тифлофлешплееров и литературы в формате "говорящей книги"</t>
  </si>
  <si>
    <t>Постановление Администрации Колпашевского района от 06.11.2012 № 1109 "О порядке использования средств бюджетных ассигнований резервного фонда финансирования непредвиденных расходов Администрации ТО"</t>
  </si>
  <si>
    <t>06.11.2012- 25.12.2012</t>
  </si>
  <si>
    <t>29.10.2012- 23.12.2012</t>
  </si>
  <si>
    <t>Постановление Администрации Колпашевского района от 07.11.2012 № 1110 "О порядке расходования средств бюджетных ассигнований резервного фонда финансирования непредвиденных расходов Администрации Томской области"</t>
  </si>
  <si>
    <t>07.11.2012- 15.12.2012</t>
  </si>
  <si>
    <t>Решение Думы Колпашевского района от 19.11.2012 №140 "О предоставлении иных межбюджетных трансфертов бюджету муниципального образования "Копыловское сельское поселение" на оплату мероприятий по ремонту дизельной электростанции в связи с установкой дизельного генератора"</t>
  </si>
  <si>
    <t>19.11.2012- 23.12.2012</t>
  </si>
  <si>
    <t>Решение Думы Колпашевского района от 25.11.2005 № 20 "Об утверждении Положения о звании "Почетный житель Колпашевского района" (в редакции от 29.03.2006 № 127, от 23.11.2009, от 23.01.2012 № 12, от 19.11.2012 № 141)</t>
  </si>
  <si>
    <t>Решение Думы Колпашевского района от 19.11.2012 № 143 "О предоставлении иных межбюджетных трансфертов бюджету муниципального образования "Новосёловское сельское поселение" на благоустройство поселения, в том числе утилизацию бытовых отходов"</t>
  </si>
  <si>
    <t>Решение Думы Колпашевского района от 08.10.2005  № 418 "Об утверждении положений (Приложение 1)", 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 от 23.04.2012 № 47, от 24.05.2012 № 87, от 19.11.2012 № 144)</t>
  </si>
  <si>
    <t>19.11.2012- 25.12.2012</t>
  </si>
  <si>
    <t>Постановление Администрации Колпашевского района от 22.11.2012 № 1161 "О порядке использования средств бюджетных ассигнований резервного фонда финансирования непредвиденных расходов Администрации Колпашевского района"</t>
  </si>
  <si>
    <t>22.11.2012- 30.12.2012</t>
  </si>
  <si>
    <t>Постановление от 28.11.2012 № 1192 "О порядке использования средств субсидии из областного бюджета на проведение энергетических обследований в муниципальных учреждениях Томской области, не осуществляющих приносящую доход деятельность или осуществляющих указанную деятельность, объём доходов от которой составляет менее 25% от объёма бюджетных ассигнований, предоставленных муниципальным учреждениям из местного бюджета" (в редакции от 06.12.2012 № 1228)</t>
  </si>
  <si>
    <t>28.11.2012- 25.12.2012</t>
  </si>
  <si>
    <t>Постановление Администрации Томской области от 24.10.2012 N 422а "О распределении субсидии из федерального бюджета бюджету Томской области на реализацию региональной программы в области энергосбережения и повышения энергетической эффективности на 2012 год"</t>
  </si>
  <si>
    <t>24.10.2012- 31.12.2012</t>
  </si>
  <si>
    <t>Расходы в соответствии с распоряжением АТО от 26.11.2012 № 161-р-в</t>
  </si>
  <si>
    <t>Постановление Администрации Колпашевского района от 10.12.2012 № 1233 "О порядке расходования средств бюджетных ассигнований резервного фонда финансирования непредвиденных расходов Администрации Томской области"</t>
  </si>
  <si>
    <t>10.12.2012- 30.12.2012</t>
  </si>
  <si>
    <t>Постановление Администрации Колпашевского района от 10.12.2012 № 1234 "О порядке использования средств бюджетных ассигнований резервного фонда финансирования непредвиденных расходов Администрации Томской области</t>
  </si>
  <si>
    <t>Постановление Администрации Колпашевского района от 05.12.2012 № 1223 "О порядке использования средств субсиди из областного бюджета на создание условий для управления многоквартирными домами на 2012 год"</t>
  </si>
  <si>
    <t>05.12.2012- 23.12.2002</t>
  </si>
  <si>
    <t>Решение Думы Колпашевского района от 19.12.2012 № 156 "О предоставлении иных межбюджетных трансфертов бюджету муниципального образования "Чажемтовское сельское поселение" на оплату работ по ремонту асфальтого покрытия дороги в селе Чажемто, улица Кириченко"</t>
  </si>
  <si>
    <t>19.12.2012- 27.12.2012</t>
  </si>
  <si>
    <t>Иные межбюджетные трансферты на оплату работ по ремонту асфальтового покрытия дороги в селе Чажемто, ул.Киричеко</t>
  </si>
  <si>
    <t>Решение Думы Колпашевского района от 19.12.2012 № 158 "О предоставлении иных межбюджетных трансфертов бюджету муниципального образования "Новоселовское сельское поселение" на приобретение топлива для организации теплоснабжения"</t>
  </si>
  <si>
    <t>ИМБТ в соответствии с распоряжением АТО от 05.12.2012 № 1086-р-в</t>
  </si>
  <si>
    <t>Постановление Администрации Колпашевского района от 19.12.2012 № 1289 "О порядке использования средств бюджетных ассигнований из областного бюджета на компенсацию расходов, произведённых на организацию водоснабжения жилья гражданам, проживающим на территории микрорайона "Матьянга" в г.Колпашево</t>
  </si>
  <si>
    <t>19.12.2012- 28.12.2012</t>
  </si>
  <si>
    <t>Постановление Администрации Колпашевского района от 10.12.2012 № 1236 "О порядке использования средств субсидии из бюджета на реализацию мероприятий подпрограммы "Повышение энергетической эффективности котельных в Томской области" в рамках долгосрочной целевой программы "Энергосбережение и повышение энергетической эффективности на территории Томской области на 2010-2012 годы и на перспективу до 2020 года"</t>
  </si>
  <si>
    <t>Расходы на реализацию ДЦП "Обеспечение жильем молодых семей в ТО на 2011-2015гг." (областной бюджет)</t>
  </si>
  <si>
    <t>2.3.6</t>
  </si>
  <si>
    <t>2.3.32.</t>
  </si>
  <si>
    <t>Расходы на осуществление государственных полномочий на проведение ремонта жилых помещений, собственниками которых являются дети-сироты и дети, оставшиеся безпопечения родителей</t>
  </si>
  <si>
    <t>2.3.31</t>
  </si>
  <si>
    <t>2.3.24.</t>
  </si>
  <si>
    <t>Расходы на осуществление отдельных государственных полномочий по организации оказания первичной медико-санитарной помощи в амбулаторно- поликлинических и больничных учреждениях, скорой медицинской помощи (за исключением санитарно- авиационной), медецинской помощи женщинам в период беременности, во время и после родов в соответствии с областной программой государственных гарантий оказания гражданам РФ бесплатной медицинской помощи на территории Томской области</t>
  </si>
  <si>
    <t>Субвенция на обеспечение жильем граждан, уволенных с военной службы (службы), и приравненых к ним лиц</t>
  </si>
  <si>
    <t>МБТ из резервного фонда АТО по ликвидации последствий стихийных бедствий и др.черезвычайных ситуаций (в соответствии с распоряжением АТО от 25.12.2012 № 1145-ра)</t>
  </si>
  <si>
    <t>Расходы в соответствии с распоряжением АТО от 07.12.2012 № 180-р-в (на материально - технической базы дет.сада № 9)</t>
  </si>
  <si>
    <t>Субсидия на реализацию федеральной целевой программы развития образования на 2011-2015 годы в части модернизации муниципальных систем дошкольного образования (за счет средств федерального бюджета)</t>
  </si>
  <si>
    <t>Межбюджетные трансферты на исполнение судебных решений по обеспечению жилыми помещениями детей-сирот и детей, оставшихся без попечения родителей, а так же детей из их числа, не имеющих закрепленного жилого помещения</t>
  </si>
  <si>
    <t>Постановление Администрации Колпашевского района от 11.12.2012 № 1245 "Об утверждении Порядка определения объёма и условий предоставления субсидий из средств бюджета муниципального образования "Колпашевский район" муниципальным бюджетным образовательным учреждениям и муниципальным автономным образовательным учреждениям на проведение тахеометрической съёмки муниципальных объектов образовательных учреждений"</t>
  </si>
  <si>
    <t>11.12.2012, не установлен</t>
  </si>
  <si>
    <t>Постановление Администрации Колпашевского района от 12.12.2012 № 1255 "О порядке предоставления субсидий Томскому Региональному Общественному Благотворительному Фонду "Колпашевская церковь Вознесения" на приобретение  ограждения крыльца православного храма "Церковь Вознесения" в г.Колпашево и насосного оборудования для котельной строящейся церкви в г.Колпашево</t>
  </si>
  <si>
    <t>12.12.2012- 30.12.2012</t>
  </si>
  <si>
    <t>МБТ в соответствии с распоряжением АТО от 26.11.2012 № 161-р-в, от 10.07.2012 № 71-р-в</t>
  </si>
  <si>
    <t>Постановление от 28.11.2012 № 1192 "О порядке использования средств субсидии из областного бюджета на проведение энергетических обследований в муниципальных учреждениях Томской области, не осуществляющих приносящую доход деятельность или осуществляющих указанную деятельность, объём доходов от которой составляет менее 25% от объёма бюджетных ассигнований, предоставленных муниципальным учреждениям из местного бюджета" (в редакции от 06.12.2012 № 1228, от 24.12.2012 № 1293)</t>
  </si>
  <si>
    <t>28.11.2012- 28.12.2012</t>
  </si>
  <si>
    <t>Расходы на реализацию программы энергосбережения и повышения энергетической эффективности на период до 2020г.</t>
  </si>
  <si>
    <t>Постановление Администрации Колпашевского района от 19.11.2012 № 1147 "О расходовании средств субсидии из резервного фонда финансирования непредвиденных расходов Администрации Томской области на укрепление материально-технической базы МБУЗ "Колпашевская ЦРБ" (в редакции от 17.12.2012 № 1263)</t>
  </si>
  <si>
    <t>Постановление Администрации Колпашевского района от 17.12.2012 № 1275 "О порядке расходования средств субсидии на реализацию федеральной целевой программы развития образования на 2011- 2015 годы в части модернизации муниципальных систем дошкольного образования</t>
  </si>
  <si>
    <t>17.12.2012- 31.12.2012</t>
  </si>
  <si>
    <t>Постановление Администрации Колпашевского района от 17.12.2012 № 1276 "О порядке расходования средств бюджетных ассигнований резервного фонда финансирования непредвиденных расходов Администрации Томской области"</t>
  </si>
  <si>
    <t>17.12.2012 -30.12.2012</t>
  </si>
  <si>
    <t>01.11.2012- 31.12.2012</t>
  </si>
  <si>
    <t>Постановление Администрации Томской области от 23.03.2011 N 77а "Об утверждении региональной Программы модернизации здравоохранения Томской области 
на 2011-2012 годы"</t>
  </si>
  <si>
    <t>23.03.2011- 31.12.2012</t>
  </si>
  <si>
    <t>Решение Думы Колпашевского района от 16.07.2012 № 94 "О предоставлении иных межбюджетных трансфертов бюджетам муниципальных образований Колпашевского района на проведение муниципальных выборов" (в редакции от 19.12.2012 № 150)</t>
  </si>
  <si>
    <t>Решение Думы Колпашевского района от 30.03.2007 № 307 "Об утверждении Положения об обеспечении условий для развития на территории муниципальногообразования "Колпашевский район"физической культуры и массового спорта , организация проведения официальных физкультурно-оздоровительных мероприятий Колпашевского района (в редакции от 30.08.2007 № 356, от 28.08.2007 № 525, от 24.05.2010 № 835, от 25.04.2011 № 39, от 23.04.2012 № 68), решение Думы Колпашевского района от 28.10.2009 № 716 " Об использовании средств местного бюджета на финансирование расходов, связанных с участием обучающихся муниципальных образовательных учреждений муниципального образования "Колпашевский район" в спортивных мероприятиях районного, регионального, межрегионального и федерального уровней" (в редакции от 13.02.2012 № 24, от 19.12.2012 № 152)</t>
  </si>
  <si>
    <t>Решение Думы Колпашевского района от 24.12.2010 № 36 "О компенсации расходов на питание обучающимся муниципальных общеобразовательных учреждений Колпашевского района" (в редакции от 29.08.2011 № 91, от 16.12.2011 № 166, от 13.02.2012 № 25, от 10.09.2012 № 116, от 19.12.2012 № 153)</t>
  </si>
  <si>
    <t>Решение Думы Колпашевского района от 14.02.2011 № 5 "О мерах по реализации Закона Томской области от 17.12.2007 № 276-ОЗ "О выделении субвенций местным бюджетам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образования,а также дополнительного образования в рамках основных общеобразовательных программ в муниципальных общеобразовательных  учреждениях" (в редакции от 25.11.2011 № 140, от 16.07.2012 № 98, от 19.12.2012 № 154)</t>
  </si>
  <si>
    <t>Решение Думы Колпашевского района от 13.02.2012 № 26 "О предоставлении ИМБТ  на изготовление проекта планировки и топографической съемки микрорайона индивидуальной застройки "Юбилейный" в селе Чажемто Колпашевского района Томской области муниципальному образованию "Чажемтовское сельское поселение" (в редакции от 19.12.2012 № 155)</t>
  </si>
  <si>
    <t>Решение Думы Колпашевского района от 29.10.2012 № 135 "О предоставлении ИМБТ бюджету МО "Колпашевское городское поселение" на оплату проектирования газовой модульной котельной "Урожай" (в редакции от 19.12.2012 № 157)</t>
  </si>
  <si>
    <t>Иные межбюджетные трансферты на приобретение топлива для организации теплоснабжения</t>
  </si>
  <si>
    <t>Решение Думы Колпашевского района от 13.02.2012 № 27 "О предоставлении ИМБТ бюджету МО "Колпашевское городское поселение" на организацию деятельности народного академического хора при  МБУ "ЦКД" (в редакции от 23.04.2012 № 65, от 19.12.2012 № 159)</t>
  </si>
  <si>
    <t>Постановление Администрации Колпашевского района от 17.12.2012 № 1277 "О порядке расходования средств ИМБТ на укрепление материально-технической базы учреждений здравоохранения в рамках региональной Программы модернизации здравоохранения Томской области на 2011- 2012 годы" (в редакции от 24.12.2012 № 1292)</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</si>
  <si>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</si>
  <si>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</si>
  <si>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</si>
  <si>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</si>
  <si>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</si>
  <si>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</si>
  <si>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</si>
  <si>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</si>
  <si>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контроля на территории особой экономической зоны</t>
  </si>
  <si>
    <t>2.1.44.</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</si>
  <si>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</si>
  <si>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2.1.45.</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</si>
  <si>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</si>
  <si>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2.1.83.</t>
  </si>
  <si>
    <t>установление официальных символов муниципального образования</t>
  </si>
  <si>
    <t>2.1.84.</t>
  </si>
  <si>
    <t>установление тарифов на услуги, предоставляемые муниципальными предприятиями и учреждениями, и работы,выполняемые муниципальными предприятиями и учреждениями, если иное не предусмотрено федеральными законами</t>
  </si>
  <si>
    <t>2.1.85.</t>
  </si>
  <si>
    <t>полномочия в сфере водоснабжения и водоотведения, предусмотренными Федеральным законом "О водоснабжении и водоотведении"</t>
  </si>
  <si>
    <t>2.1.86.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</si>
  <si>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</si>
  <si>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2.1.87.</t>
  </si>
  <si>
    <t>осуществление международных и внешнеэкономических связей в соответствии с федеральными законами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</si>
  <si>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</si>
  <si>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ИМБТ на приобретение в муниципальную собственность газораспределительных сетей г.Колпашево и с.Тогур Колпашевского района Томской области, 5очередь, 2 этап (Колпашевское городское поселение)</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</si>
  <si>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</si>
  <si>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</si>
  <si>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ИТОГО расходные обязательства муниципального района</t>
  </si>
  <si>
    <t>Постановление Администрации Томской области от 26.04.2012 N 163а "Об утверждении Порядка предоставления иных межбюджетных трансфертов на исполнение судебных актов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t>
  </si>
  <si>
    <t>ст. 2, п.п.2; ст. 11, п.п. 1;  ст. 25, п.п. 1, п.п. 3</t>
  </si>
  <si>
    <t>Ст. 1-3</t>
  </si>
  <si>
    <t>Постановление Администрации Колпашевского района  от 30.06.2010 № 855 "Об установлении расходных обязательств по осуществлению отдельных государственных полномочий по государственной поддержке с/х производства"</t>
  </si>
  <si>
    <t>Реестр расходных обязательств муниципального образования "Колпашевский район" на 2013 г. (плановый) и плановый период 2014-2015 года.</t>
  </si>
  <si>
    <t>финансовый год +1
(2014 год)</t>
  </si>
  <si>
    <t>финансовый год +2
(2015 год)</t>
  </si>
  <si>
    <t>текущий финансовый год (2013)</t>
  </si>
  <si>
    <t>отчетный финансовый год   (2012 год)</t>
  </si>
  <si>
    <t>гр.16</t>
  </si>
  <si>
    <t>ИМБТ на реализацию мероприятий подпрограммы "Повышение энергетической эффективности котельных в Томской области" в рамках долгосрочной целевой программы "Энергосбережение и повышение энергетической эффективности на территории Томской области на 2010-2012 годы и на перспективу до 2020 года"</t>
  </si>
  <si>
    <t>Субсидия на разработку проектно- сметной документации на реконструкцию (проведение капитального ремонта) гидротехнических сооружений, находящихся в муниципальной собственности</t>
  </si>
  <si>
    <t>ИМБТ на капитальный ремонт многоквартирных домов</t>
  </si>
  <si>
    <t>01.01.2013- 31.12.2013</t>
  </si>
  <si>
    <t>Постановление Администрации Колпашевского района от 24.12.2012 № 1298 "О Порядке предоставления субсидий социально- ориентированным некоммерческим организациям, не являющимся муниципальными учреждениями, в 2013 году"</t>
  </si>
  <si>
    <t>Расходы на предоставление субсидии на возмещение недополученных доходов, связвнных с предоставлением льготных услуг по перевозке населения по автобусным маршрутам Колпашевского района</t>
  </si>
  <si>
    <t>в целом</t>
  </si>
  <si>
    <t>12.12.2012-01.06.2013</t>
  </si>
  <si>
    <t>Решение Думы Колпашевского района от 28.01.2013 № 4 "О предоставлении иных межбюджетных трансфертов бюджету муниципального образования «Колпашевское городское поселение» на реализацию мероприятий подпрограммы «Повышение энергетической эффективности котельных в Томской области» в рамках долгосрочной целевой программы «Энергосбережение и повышение энергетической эффективности на территории Томской области на 2010-2012 годы и на перспективу до 2020 года»</t>
  </si>
  <si>
    <t>28.01.2013- 27.12.2013</t>
  </si>
  <si>
    <t>Расходы на выплату стипендии Губернатора Томской области молодым учителям муниципальных образовательных учреждений Томской области</t>
  </si>
  <si>
    <t>Постановление Губернатора Томской области от 10 февраля 2012 г. N 13 "Об учреждении ежемесячной стипендии Губернатора Томской области молодым учителям областных государственных и муниципальных образовательных учреждений Томской области"</t>
  </si>
  <si>
    <t>Постановление Администрации Колпашевского района от 29.01.2013 № 51 "О порядке расходования средств межбюджетных трансфертов на выплату стипендии Губернатора Томской области молодым учителям"</t>
  </si>
  <si>
    <t>п. 1,3,5</t>
  </si>
  <si>
    <t>01.01.2013, не установлен</t>
  </si>
  <si>
    <t>Расходы на реализацию долгосрочной целевой программы "Профилактика правонарушений среди несовершеннолетних на территории муниципального образования "Колпашевский район" на 2013-2015</t>
  </si>
  <si>
    <t>Постановление Администрации Колпашевского района от 28.09.2012 № 968 "Об утверждении долгосрочной целевой программы "Профилактика правонарушений среди несовершеннолетних на территории муниципального образования "Колпашевский район" на 2013-2015"</t>
  </si>
  <si>
    <t>01.01.2013-31.12.2015</t>
  </si>
  <si>
    <t>Постановление Администрации Колпашевского района от 01.10.2012 № 978 "Об утверждении долгосрочной целевой программы  "Развитие малого и среднего предпринимательства в Колпашевском районе на 2013 - 2018 годы"</t>
  </si>
  <si>
    <t>01.01.2013-31.12.2018</t>
  </si>
  <si>
    <t>Постановление Администрации Колпашевского района от 07.02.2013 № 97 "Об использовании бюджетных ассигнований на покупку дизельного топлива и угля для ликвидации черезвычайной ситуации муниципального характера"</t>
  </si>
  <si>
    <t>Постановление Администрации Колпашевского района от 08.02.2013 № 107 "О порядке расходования средств субсидии на обеспечение условий для развития физической культуры и массового спорта на территории Колпашевского района"</t>
  </si>
  <si>
    <t>ИМБТ на проведение проектных работ по объекту "Газорапределительные сети г.Колпашево и с.Тогур Колпашевского района Томской области 6 очередь. Первый пусковой комплекс: распределительные газопроводы низкого давления ГРПШ № 45,46 г.Колпашево второй пусковой комплекс: распределительные газопроводы высокого и низкого давления ГРПШ № 27 г.Колпашево</t>
  </si>
  <si>
    <t>Решение Думы Колпашевского района от 28.02.2013 № 12 "О предоставлении ИМБТ бюджету МО "Колпашевское городское поселение" на проведение проектных работ по объекту "Газорапределительные сети г.Колпашево и с.Тогур Колпашевского района Томской области. 6 очередь. Первый пусковой комплекс: Распределительные газопроводы низкого давления ГРПШ № 45, 46 г.Колпашево. Второй пусковой комплекс: Распределительные газопроводы высокого и низкого давления ГРПШ № 27 г.Колпашево"</t>
  </si>
  <si>
    <t>ИМБТ на ликвидацию несанкционированного размещения бытовых отходов в с.Копыловка и обустройство на этом месте зоны отдыха</t>
  </si>
  <si>
    <t>Решение Думы Колпашевского района от 28.02.2013 № 18 "О предоставлении ИМБТ бюджету МО "Копыловское сельское поселение" на ликвидацию несанкционированного размещения бытовых отходов в с.Копыловка и обустройство на этом месте зоны отдыха"</t>
  </si>
  <si>
    <t>ИМБТ на приобретение мусорных контейнеров для организации централизованного сбора и вывоза твердых бытовых отходов</t>
  </si>
  <si>
    <t>Решение Думы Колпашевского района от 28.02.2013 № 13 "О предоставлении ИМБТ бюджету МО "Новоселовское сельское поселение" на приобретение мусорных контейнеров для организации централизованного сбора и вывоза твердых бытовых отходов"</t>
  </si>
  <si>
    <t>ИМБТ на благоустройство</t>
  </si>
  <si>
    <t>Решение Думы Колпашевского района от 28.02.2013 № 15 "О предоставлении ИМБТ бюджету МО "Новогоренское сельское поселение" на благоустройство"</t>
  </si>
  <si>
    <t>Решение Думы Колпашевского района от 28.02.2013 № 17 "О предоставлении ИМБТ бюджету МО "Инкинское сельское поселение" на ремонт объектов ЖКХ"</t>
  </si>
  <si>
    <t>ИМБТ на ремонт объектов ЖКХ</t>
  </si>
  <si>
    <t>ИМБТ на приобретение лодочного мотора</t>
  </si>
  <si>
    <t>Решение Думы Колпашевского района от 28.02.2013 № 8 "О предоставлении иных межбюджетных трансфертов бюджету муниципального образования "Саровское сельское поселение" на приобретение лодочного мотора"</t>
  </si>
  <si>
    <t>ИМБТ на реконструкцию нежилого помещения по адресу с.Новоселово, ул. Центральная, д11/1 общей площадью 298 кв.м.</t>
  </si>
  <si>
    <t>ИМБТ на изготовление проектно-сметной документации микрарайона "Юбилейный" с.Чажемто</t>
  </si>
  <si>
    <t>Решение Думы Колпашевского района от 28.02.2013 № 9 "О предоставлении иных межбюджетных трансфертов на изготовление проектно- сметной документации микрорайона "юбилейный" с.Чажемто Колпашевского района Томской области муниципальному образованию "Чажемтовское сельское поселение"</t>
  </si>
  <si>
    <t>Решение ДумыКолпашевского района от 28.02.2013 № 21 "О предоставлениии ИМБТ бюджету МО "Колпашевское городское поселение" на организацию деятельности народного академического хора при МБУ "ЦКД"</t>
  </si>
  <si>
    <t>ИМБТ на организацию деятельности народного академического хора при муниципальном бюджетном учреждении "ЦКД"</t>
  </si>
  <si>
    <t>ИМБТ на ремонт и укрепление МТБ Дома культуры "Лесопильщик" МБУ "ЦКД"</t>
  </si>
  <si>
    <t>Решение Думы Колпашевскогот района от 28.02.2013 № 22 "О предоставлении ИМБТ бюджету МО "Колпашевское городское поселение" на ремонт и укрепление материально- технической базы Дома культуры "Лесопильщик" МБУ "ЦКД"</t>
  </si>
  <si>
    <t>ИМБТ на разработку технико-экономического обоснования по модернизации системы водоснабжения деревни Новогорное, Колпашевского района, Томской области (Новогоренское сельское поселение)</t>
  </si>
  <si>
    <t>Решение Думы Колпашевского района от 28.02.2013 № 16 "О предоставлении ИМБТ бюджету МО "Новогоренское сельское поселение" на разработку технико-экономического обоснования по модернизации системы водоснабжения деревни Новогорное, Колпашевского района, Томской области"</t>
  </si>
  <si>
    <t>Остатки 2012 года по МБТ на исполнение судебных актов по обеспечению жилыми помещениями детей - сирот и детей, оставшихся без попечения родителей, а также лиц из их числа, не имеющих закрепленного жилого помещения</t>
  </si>
  <si>
    <t>Остатки 2012 года по субвенции на обеспечение жилыми помещениями детей-сирот и детей, оставшихся без попечения родителей, а также лиц из их числа, не имеющих закрепленного жилого помещения</t>
  </si>
  <si>
    <t>Решение Думы Колпашевского района от 28.04.2008 № 466 "Об утверждении Порядка использования средств субвенции из областного бюджета, связанных с осуществлением государственных полномочий по обеспечению жилыми помещениями детей-сирот и детей, оставшихся без попечения родителей, а также лиц из их числа, не имеющих закреплённого жилого помещения в муниципальном образовании "Колпашевский район" (в редакции от 27.10.2008 № 550, от 16.01.2009 № 596, от 25.12.2009 № 770),  Постановление администрации Колпашевского района "Об установлении расходных обязательств по осуществлению отдельных государственных полномочий" от 30.06.2010 № 863 (в редакции от 19.06.2012 № 577)</t>
  </si>
  <si>
    <t>Остатки 2012 года по МБТ на предупреждение ЧС, связанной с переселением жителей домов с обрушающегося берега р. Обь, в соответствии с распоряжением АТО от 21.06.2012 № 572-ра</t>
  </si>
  <si>
    <t>Субвенция на выплату единовременного пособия при всех формах устройства детей, лишенных родительского попечения, в семью (фед. Бюджет)</t>
  </si>
  <si>
    <t>расходы в соответствии с распоряжением АТО от 27.02.2013 № 128-ра на приобретение цистерн-прицепов для подвоза питьевой воды</t>
  </si>
  <si>
    <t>0901 0902</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</si>
  <si>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ВОв 1941-1945 годов; труженников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1941-1945 годов, не вступивших в повторный брак</t>
  </si>
  <si>
    <t>Остатки 2012 года за счет МБТ из резервного фонда АТО от 25.12.2012 № 1145-ра на покупку дизельного топлива и угля для ликвидации черезвычайной ситуации муниципального характера</t>
  </si>
  <si>
    <t>07.02.2013- 01.03.2013</t>
  </si>
  <si>
    <t>Постановление Администрации Колпашевского района от 26.07.2012 № 713 "Об использовании бюджетных ассигнований выделенных бюджету муниципального образования «Колпашевский район» из целевого финансового резерва Томской области для переселения жителей домов с обрушающегося берега р. Обь" (в редакции от 08.02.2013 № 101)</t>
  </si>
  <si>
    <t>26.07.2012- 28.06.2013</t>
  </si>
  <si>
    <t>Постановление Администрации Томской области от 22.01.2008 N 3а "О целевом финансовом резерве Томской области для предупреждения чрезвычайных ситуаций"</t>
  </si>
  <si>
    <t>п. 4</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</si>
  <si>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</si>
  <si>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01.01.2013-27.12.2013</t>
  </si>
  <si>
    <t>01.01.2013- 27.12.2013</t>
  </si>
  <si>
    <t>Постановление Администрации Колпашевского района от 18.02.2013 № 134 "О порядке расходования средств субсидии из областного бюджета на оплату труда руководителям и специалистам муниципальных учреждений культуры и искусства Колпашевского района в части выплат надбавок и доплат к тарифной ставке (должностному окладу)"</t>
  </si>
  <si>
    <t>Постановление Администрации Колпашевского района от 20.02.2013 № 145 "О порядке расходования средств иных межбюджетных трансфертов на стимулирующие выплаты в муниципальных дошкольных образовательных учреждениях Томской области"</t>
  </si>
  <si>
    <t xml:space="preserve">01.01.2013, не установлен </t>
  </si>
  <si>
    <t>Постановление Администрации Колпашевского района от 20.02.2013 № 146 "О порядке расходования средств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t>
  </si>
  <si>
    <t>Постановление Администрации Колпашевского района от 23.05.2011 № 481 "Об утверждении порядка восстановления расходов по фактической оплате за потреблённую электроэнергию муниципальными бюджетными (казенными) учреждениями, объектами благоустройства и органами местного самоуправления" (в редакции от 20.07.2012 № 694, от 21.02.2013 № 149)</t>
  </si>
  <si>
    <t>Решение Думы Колпашевского района от 28.01.2013 № 3 "Об установлении льгот на пассажирские перевозки по социально- значимым автобусным маршрутам Колпашевского района"</t>
  </si>
  <si>
    <t>Постановление Администрации Колпашевского района от 21.02.2013 № 151 "Об утверждении порядка и условий предоставления субсидии на возмещение недополученных доходов от предоставления льготных услуг по перевозке населения по автобусным маршрутам № 513 "Колпашево - Копыловка", № 514 "колпашево - Куржино", № 515 "Колпашево - Дальнее"</t>
  </si>
  <si>
    <t>21.02.2013- 31.12.2013</t>
  </si>
  <si>
    <t>28.02.2013- 01.07.2013</t>
  </si>
  <si>
    <t>28.02.2013- 27.12.2013</t>
  </si>
  <si>
    <t>Решение Думы Колпашевского района от 28.02.2013 № 14 "О предоставлении ИМБТ бюджету МО "Новоселовское сельское поселение" на реконструкцию нежилого помещения по адресу: с.Новоселово, ул. Центральная, д.11/1, 298 кв.м., находящегося в муниципальной собственности Новоселовского сельского поселения"</t>
  </si>
  <si>
    <t>28.02.2013-31.12.2013</t>
  </si>
  <si>
    <t>Решение Думы Колпашевского района от 28.02.2013 № 20 "О финансировании расходов на обеспечение условий для развития физической культуры и массового спорта на территории Колпашевского района в 2013 году"</t>
  </si>
  <si>
    <t>Постановление Администрации Колпашевского района от 05.03.2013 № 191 "О порядке использования средств субсидии из областного бюджета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t>
  </si>
  <si>
    <t xml:space="preserve">в целом </t>
  </si>
  <si>
    <t>05.03.2013- 31.12.2013</t>
  </si>
  <si>
    <t>Постановление Администрации Колпашевского района от 14.10.2010 № 1288 "Об утверждении долгосрочной целевой программы "Медицинские кадры" на 2011 - 2013 годы" (в редакции от 22.06.2011 № 621, от 30.12.2011№ 1431, от 04.04.2012 № 313, от 12.07.2012 № 676, от 23.10.2012 № 1052, от 14.12.2012 № 1264, от 06.03.2013 № 227)</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</si>
  <si>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редакции от 13.02.2013 № 119)</t>
  </si>
  <si>
    <t>Остатки 2012 года по субсидии на капитальный ремонт дворовых территорий многоквартирных домов, проездов к дворовым территориям</t>
  </si>
  <si>
    <t>Межбюджетные трансферты на исполнение судебных актов по обеспечению жилыми помещениями детей-сирот и детей, оставшихся без попечения родителей, а так же лиц из их числа</t>
  </si>
  <si>
    <t>ИМБТ на поощрение поселенческих команд, участвовавших в 6-й зимней межпоселенческой спартакиаде в с.Инкино</t>
  </si>
  <si>
    <t xml:space="preserve">ИМБТ на капитальный ремонт и ремонт дворовых территорий многоквартирных домов, проездов к дворовым территориям многоквартирных домов населенных пунктов </t>
  </si>
  <si>
    <t>Постановление Администрации Колпашевсмкого района от 14.09.2012 № 914 "О порядке расходования средств межбюджетных трансфертов на выплату ежемесячной стипендии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 перечисленных в бюджет муниципального образования "Колпашевский район" в соответствии с постановлением Администрации ТО от 20.08.2012 № 317а" (в редакции от 29.03.2013 № 300)</t>
  </si>
  <si>
    <t>" 05 " апреля 2013г.</t>
  </si>
  <si>
    <t>Постановление Администрации Колпашевского района от 06.03.2013 № 228 "О порядке расходования неиспользованных в 2012 году средств субсидии из областного бюджета на капитальный ремонт и ремонт дворовых территорий многоквартирных домов, проездов кдворовым территориям многоквартирных домов населённых пунктов"</t>
  </si>
  <si>
    <t>06.03.2013- 10.09.2013</t>
  </si>
  <si>
    <t>п.п. 37 п. 2</t>
  </si>
  <si>
    <t>Постановление Администрации Колпашевского района от 18.03.2012 № 251 "Об использовании бюджетных ассигнований на приобретение цистерн-прицепов"</t>
  </si>
  <si>
    <t>18.03.2013- 01.08.2013</t>
  </si>
  <si>
    <t>Постановление Администрации Колпашевского района от 24.09.2012 № 942 "О порядке расходования средств межбюджетных трансфертов на выплату стипендии Губернатора Томской области лучшим учителям муниципальных образовательных учреждений Томской области, перечисленных в бюджет муниципального образования «Колпашевский район» в соответствии с постановлением Администрации Томской области от 20.08. 2012 № 316а" (в редакции от 20.03.2013 № 262)</t>
  </si>
  <si>
    <t>Постановление Администрации Колпашевского района от 20.03.2013 № 263 "О порядке расходования средств субсидии на организацию отдыха 
детей Колпашевского района в каникулярное время"</t>
  </si>
  <si>
    <t>20.03.2013, не установлен</t>
  </si>
  <si>
    <t>Распоряжение главы Колпашевского района от 27.03.2013 № 11 "О распределении средств иных межбюджетных трансфертов на поощрение поселенческих команд, участвовавших в 6-й зимней межпоселенческой спартакиаде в с.Инкино, из бюджета муниципального образования «Колпашевский район» в 2013 году"</t>
  </si>
  <si>
    <t>27.03.2013- 10.07.2013</t>
  </si>
  <si>
    <t>Решение Думы Колпашевского района от 24.05.2012 № 84 "Об утверждении Положения об организации  отдыха  детей в каникулярное время на территории муни ципального образования "Колпашевский район" (в редакции от 27.03.2013 № 25)</t>
  </si>
  <si>
    <t>Решение Думы Колпашевского района от 28.02.2013 № 19 "О предоставлении за счет средств бюджета МО "Колпашевский район" помощи на ремонт и (или) переустройство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ВОв 1941-1945 годов; труженников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1941-1945 годов, не вступивших в повторный брак"</t>
  </si>
  <si>
    <t>Постановление Администрации Колпашевского района от 27.03.2013 № 283 "О порядке расходования средств иных межбюджетных трансфертов, предоставленных из областного бюджета и средств бюджета муниципального образования «Колпашевский район» на оказание помощи в ремонте и (или) переустройстве жилых помещений граждан, не стоящих на учёте в качестве нуждающихся в улучшении жилищных условий и не реализовавших своё право на улучшение жилищных условий за счёт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награждённых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</si>
  <si>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п. 1,5</t>
  </si>
  <si>
    <t>27.03.2013- 31.12.2013</t>
  </si>
  <si>
    <t>Постановление Администрации Томской области от 28.12.2012 N 544а "О порядке предоставления иных межбюджетных трансфертов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</si>
  <si>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Постановление Администрации Колпашевского района от 26.12.2011 № 1373 "Об утверждении Порядка определения объёма и условий предоставления субсидий из местного бюджета муниципальным бюджетным образовательным учреждениям и муниципальным автономным образовательным учреждениям на предоставление компенсации расходов на питание обучающимся муниципальных бюджетных образовательных учреждений и муниципальных автономных образовательных учреждений из малоимущих семей" (в редакции от 22.01.2013 № 29)</t>
  </si>
  <si>
    <t>Решение Думы Колпашевского района от 19.11.2012 № 137 "О бюджете муниципального образования "Колпашевский район" на 2013 год"</t>
  </si>
  <si>
    <t>28.02.2013- 31.12.2013</t>
  </si>
  <si>
    <t>Решение Думы Колпашевского района от 08.10.2005  № 418 "Об утверждении положений (Приложение 1)", 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 от 23.04.2012 № 47, от 24.05.2012 № 87, от 19.11.2012 № 144, от 27.03.2013 № 28)</t>
  </si>
  <si>
    <t>0701,0702</t>
  </si>
  <si>
    <t>Решение Думы Колпашевского района от 28.08.2009 № 691 "О введении новой системы оплаты труда работников  муниципальных общеобразовательных учреждений"</t>
  </si>
  <si>
    <t>28.08.2009, не установлен</t>
  </si>
  <si>
    <t>Постановление Администрации Колпашевского района от 15.10.2010 № 1294 "Об утверждении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 (в редакции от 16.03.2011 № 198, от 10.08.2011 № 809, от 05.09.2011 № 910, от 13.02.2012 № 136, 14.05.2012 № 447, от 06.06.2012 № 547, от 13.09.2012 № 911, от 20.11.2012 № 1150, от 10.12.2012 № 1242, от 28.12.2012 № 1329)</t>
  </si>
  <si>
    <t>20.07.2011- 29.12.2012</t>
  </si>
  <si>
    <t>Решение Думы Колпашевского района от 16.07.2012 № 91 "Об утверждении Порядка предоставления дотаций
на выравнивание бюджетной обеспеченности поселений
из бюджета муниципального образования «Колпашевский район»
"</t>
  </si>
  <si>
    <t>16.07.2012, не установлен</t>
  </si>
  <si>
    <t>01.01.2013- 31.12.2018</t>
  </si>
  <si>
    <t>Постановление Администрации Колпашевского района от 08.04.2013 № 319 "О порядке использования средств субсидии из областного бюджета на капитальный ремонт и ремонт автомобильных дорог общего пользования населенных пунктов"</t>
  </si>
  <si>
    <t>прил. 38</t>
  </si>
  <si>
    <t>08.04.2013- 31.12.2013</t>
  </si>
  <si>
    <t>Постановление Администрации Колпашевского района от 09.04.2013 № 320 "О порядке использования средств субсидии из областного бюджета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</si>
  <si>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09.04.2013- 31.12.2013</t>
  </si>
  <si>
    <t>вцелом</t>
  </si>
  <si>
    <t>Постановление Администрации Колпашевского района от 17.12.2012 № 1277 "О порядке расходования средств ИМБТ на укрепление материально-технической базы учреждений здравоохранения в рамках региональной Программы модернизации здравоохранения Томской области на 2011- 2013 годы" (в редакции от 24.12.2012 № 1292, от 11.04.2013 № 346)</t>
  </si>
  <si>
    <t>01.11.2012- 31.12.2013</t>
  </si>
  <si>
    <t>Постановление Администрации Колпашевского района от 18.03.2013 № 251 "Об использовании бюджетных ассигнований на приобретение цистерн-прицепов и автоцистерн" (в редакции от 15.04.2013 № 355)</t>
  </si>
  <si>
    <t>Постановление Администрации Колпашевского района от 15.04.2013 № 357 "О порядке расходования средств субсидии на обеспечение участия спортивных сборных команд Колпашевского района в официальных региональных спортивных, физкультурных мероприятиях, проводимых на территории г.Томска, за исключением спортивных сборных команд муниципального образования "Город Томск", муниципального образования "Городской округ- закрытое административно-территориальное образование Северск Томской области", муниципального образования "Томский район"</t>
  </si>
  <si>
    <t>15.04.2013- 31.12.2013</t>
  </si>
  <si>
    <t>Субсидия на проведение мероприятий по организации сопровождения детей-инвалидов со сложными ограничениями здоровья в образовательных учреждениях во время учебного процесса</t>
  </si>
  <si>
    <t>Субсидия на приобретение оборудования для организации школьного питания</t>
  </si>
  <si>
    <t>МБТ из резервного фонда финансирования непредвиденных расходов АТО (в соответствии с распоряжением АТО от 09.04.2013 № 67-р-в)</t>
  </si>
  <si>
    <t>МБТ из резервного фонда финансирования непредвиденных расходов АТО (в соответствии с распоряжением АТО от 08.04.2013 № 66-р-в)</t>
  </si>
  <si>
    <t>МБТ из резервного фонда финансирования непредвиденных расходов АТО (в соответствии с распоряжением АТО от 16.04.2013 № 80-р-в)</t>
  </si>
  <si>
    <t>ИМБТ победителям областного фестиваля народного творчества "Томская мозаика - 2012" (в соответствии с распоряжением АТО от 26.03.2013 № 57-р-в)</t>
  </si>
  <si>
    <t>0804</t>
  </si>
  <si>
    <t>МБТ из резервного фонда непредвиденных расходов АТО ( в соответствии с распоряжением АТО от 16.04.2013 № 80-р-в)</t>
  </si>
  <si>
    <t>ИМБТ на оснащение муниципальных учреждений здравоохранения ТО автомобилями скорой медецинской помощи и приобретение аппаратуры спутниковой навигации ГЛОНАСС</t>
  </si>
  <si>
    <t>ИМБТ на исполнение судебных актов по обеспечению жилыми помещениями детей-сирот и детей оставшихся без попечения родителей, а также лиц из их числа</t>
  </si>
  <si>
    <t>МБТ из резервного фонда финансирования непредвиденных расходов АТО от 16.04.2013 № 80-р-в)</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</si>
  <si>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расширения рынка сельскохозяйственной продукции, сырья продовольствия"</t>
  </si>
  <si>
    <t>Решение Думы Колпашевского района от 29.04.2013 № 37 "О порядке использования средств бюджета муниципального образования «Колпашевский район» на проведение мероприятий по улучшению жилищных условий граждан, проживающих в сельской местности, в том числе молодых семей и молодых специалистов"</t>
  </si>
  <si>
    <t>29.04.2013- 31.12.2013</t>
  </si>
  <si>
    <t>Постановление Администрации Томской области от 17.08.2011 N 247а "Об утверждении долгосрочной целевой программы "Социальное развитие села Томской области до 2015 года"</t>
  </si>
  <si>
    <t>26.09.2011- 31.12.2015</t>
  </si>
  <si>
    <t>25.04.2013- 20.12.2012</t>
  </si>
  <si>
    <t>Решение Думы Колпашевского района от 25.11.2011 № 142 "О порядке расходования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 по ликвидации последствий стихийных действий и других черезвычайных ситуаций, целевого финансового резерва ТО для предупреждения черезвычайных ситуаций"</t>
  </si>
  <si>
    <t>Постановление Главы Колпашевского района от 25.04.2013 № 67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</si>
  <si>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Постановление Главы Колпашевского района от 25.04.2013 № 66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</si>
  <si>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01.01.2012- 29.04.2013</t>
  </si>
  <si>
    <t>Решение Думы Колпашевского района от 29.04.2013 № 35 "О порядке использования средств бюджета муниципального образования «Колпашевский район» на реализацию мероприятий, направленных на содействие развитию малого и среднего предпринимательства"</t>
  </si>
  <si>
    <t>Решение Думы Колпашевского района от 29.04.2013 № 39 "Об установлении льготы на пассажирские перевозки речным транспортом по маршрутам № 1 "Тогур-Копыловка", № 2 "Тогур-Лебяжье"</t>
  </si>
  <si>
    <t>ст.8</t>
  </si>
  <si>
    <t>Решение Думы Колпашевского района от 10.09.2012 № 115 "О предоставлении иных межбюджетных трансфертов на поддержку мер по обеспечению сбалансированности местных бюджетов"</t>
  </si>
  <si>
    <t xml:space="preserve">Решение Думы Колпашевского района от 16.07.2012 № 90 "Об утверждении Комплексной программы социально-экономического развития Колпашевского района на 2013-2018 годы"
</t>
  </si>
  <si>
    <t>раздел 1.8.4. программы</t>
  </si>
  <si>
    <t>Постановление Администрации Колпашевского района от 13.05.2013 № 433 "О порядке расходования средств бюджетых ассигнований резервного фонда финансирования непредвиденных расходов Администрации Томской области"</t>
  </si>
  <si>
    <t>13.05.2013- 31.12.2013</t>
  </si>
  <si>
    <t>" 05 " мая 2013г.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</si>
</sst>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FC19]d\ mmmm\ yyyy\ &quot;г.&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 numFmtId="173" formatCode="#,##0.0000"/>
    <numFmt numFmtId="174" formatCode="#,##0.00000"/>
    <numFmt numFmtId="175" formatCode="#,##0.000000"/>
    <numFmt numFmtId="176" formatCode="#,##0.0000000"/>
  </numFmts>
  <fonts count="61">
    <font>
      <sz val="10"/>
      <name val="Arial Cyr"/>
      <family val="0"/>
    </font>
    <font>
      <sz val="10"/>
      <name val="Arial"/>
      <family val="2"/>
    </font>
    <font>
      <u val="single"/>
      <sz val="10"/>
      <color indexed="12"/>
      <name val="Arial Cyr"/>
      <family val="0"/>
    </font>
    <font>
      <u val="single"/>
      <sz val="10"/>
      <color indexed="36"/>
      <name val="Arial Cyr"/>
      <family val="0"/>
    </font>
    <font>
      <sz val="10"/>
      <name val="Times New Roman CYR"/>
      <family val="1"/>
    </font>
    <font>
      <sz val="9"/>
      <name val="Times New Roman CYR"/>
      <family val="1"/>
    </font>
    <font>
      <b/>
      <sz val="10"/>
      <name val="Times New Roman CYR"/>
      <family val="1"/>
    </font>
    <font>
      <sz val="8"/>
      <name val="Times New Roman CYR"/>
      <family val="1"/>
    </font>
    <font>
      <b/>
      <sz val="9"/>
      <name val="Times New Roman CYR"/>
      <family val="1"/>
    </font>
    <font>
      <b/>
      <sz val="14"/>
      <name val="Arial"/>
      <family val="2"/>
    </font>
    <font>
      <b/>
      <sz val="8"/>
      <name val="Times New Roman CYR"/>
      <family val="0"/>
    </font>
    <font>
      <sz val="9"/>
      <name val="Times New Roman"/>
      <family val="1"/>
    </font>
    <font>
      <b/>
      <sz val="6"/>
      <name val="Times New Roman CYR"/>
      <family val="1"/>
    </font>
    <font>
      <sz val="6"/>
      <name val="Times New Roman CYR"/>
      <family val="1"/>
    </font>
    <font>
      <sz val="6"/>
      <name val="Times New Roman"/>
      <family val="1"/>
    </font>
    <font>
      <sz val="10"/>
      <name val="Times New Roman"/>
      <family val="1"/>
    </font>
    <font>
      <u val="single"/>
      <sz val="10"/>
      <name val="Times New Roman CYR"/>
      <family val="1"/>
    </font>
    <font>
      <b/>
      <sz val="9"/>
      <name val="Times New Roman"/>
      <family val="1"/>
    </font>
    <font>
      <sz val="9"/>
      <name val="Arial Cyr"/>
      <family val="0"/>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CYR"/>
      <family val="0"/>
    </font>
    <font>
      <sz val="8"/>
      <color indexed="10"/>
      <name val="Times New Roman CYR"/>
      <family val="0"/>
    </font>
    <font>
      <b/>
      <sz val="8"/>
      <color indexed="10"/>
      <name val="Times New Roman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CYR"/>
      <family val="0"/>
    </font>
    <font>
      <sz val="8"/>
      <color rgb="FFFF0000"/>
      <name val="Times New Roman CYR"/>
      <family val="0"/>
    </font>
    <font>
      <b/>
      <sz val="8"/>
      <color rgb="FFFF0000"/>
      <name val="Times New Roman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color indexed="8"/>
      </left>
      <right style="thin"/>
      <top>
        <color indexed="63"/>
      </top>
      <bottom>
        <color indexed="63"/>
      </bottom>
    </border>
    <border>
      <left style="thin"/>
      <right style="thin">
        <color indexed="8"/>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 fillId="0" borderId="0">
      <alignment/>
      <protection/>
    </xf>
    <xf numFmtId="0" fontId="3"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313">
    <xf numFmtId="0" fontId="0" fillId="0" borderId="0" xfId="0" applyAlignment="1">
      <alignment/>
    </xf>
    <xf numFmtId="0" fontId="1" fillId="0" borderId="0" xfId="53" applyFill="1">
      <alignment/>
      <protection/>
    </xf>
    <xf numFmtId="0" fontId="4" fillId="0" borderId="0" xfId="53" applyFont="1" applyFill="1">
      <alignment/>
      <protection/>
    </xf>
    <xf numFmtId="0" fontId="5" fillId="0" borderId="10" xfId="0" applyNumberFormat="1" applyFont="1" applyFill="1" applyBorder="1" applyAlignment="1" applyProtection="1">
      <alignment horizontal="center" vertical="center" wrapText="1" shrinkToFit="1"/>
      <protection locked="0"/>
    </xf>
    <xf numFmtId="0" fontId="4" fillId="0" borderId="0" xfId="0" applyNumberFormat="1" applyFont="1" applyFill="1" applyBorder="1" applyAlignment="1" applyProtection="1">
      <alignment vertical="top"/>
      <protection/>
    </xf>
    <xf numFmtId="0" fontId="1" fillId="0" borderId="0" xfId="53" applyFont="1" applyFill="1">
      <alignment/>
      <protection/>
    </xf>
    <xf numFmtId="14" fontId="5" fillId="0" borderId="10"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wrapText="1"/>
      <protection/>
    </xf>
    <xf numFmtId="0" fontId="4"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right" vertical="center" wrapText="1" shrinkToFit="1"/>
      <protection locked="0"/>
    </xf>
    <xf numFmtId="0" fontId="8" fillId="0" borderId="10"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shrinkToFit="1"/>
      <protection locked="0"/>
    </xf>
    <xf numFmtId="0" fontId="11" fillId="0" borderId="12" xfId="0" applyNumberFormat="1" applyFont="1" applyFill="1" applyBorder="1" applyAlignment="1" applyProtection="1">
      <alignment horizontal="center" vertical="center" wrapText="1" shrinkToFit="1"/>
      <protection locked="0"/>
    </xf>
    <xf numFmtId="0" fontId="11" fillId="0" borderId="10" xfId="0" applyNumberFormat="1" applyFont="1" applyFill="1" applyBorder="1" applyAlignment="1" applyProtection="1">
      <alignment horizontal="center" vertical="center" wrapText="1" shrinkToFit="1"/>
      <protection locked="0"/>
    </xf>
    <xf numFmtId="0" fontId="11" fillId="0" borderId="12"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center" vertical="center" wrapText="1" shrinkToFit="1"/>
      <protection locked="0"/>
    </xf>
    <xf numFmtId="0" fontId="11" fillId="0" borderId="11" xfId="53" applyNumberFormat="1" applyFont="1" applyFill="1" applyBorder="1" applyAlignment="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shrinkToFit="1"/>
      <protection locked="0"/>
    </xf>
    <xf numFmtId="0" fontId="11" fillId="0" borderId="16" xfId="0" applyNumberFormat="1" applyFont="1" applyFill="1" applyBorder="1" applyAlignment="1" applyProtection="1">
      <alignment horizontal="center" vertical="center" wrapText="1" shrinkToFit="1"/>
      <protection locked="0"/>
    </xf>
    <xf numFmtId="0" fontId="12"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wrapText="1"/>
      <protection/>
    </xf>
    <xf numFmtId="49" fontId="13" fillId="0" borderId="10" xfId="0" applyNumberFormat="1" applyFont="1" applyFill="1" applyBorder="1" applyAlignment="1" applyProtection="1">
      <alignment horizontal="center" vertical="center" wrapText="1" shrinkToFit="1"/>
      <protection locked="0"/>
    </xf>
    <xf numFmtId="49" fontId="13" fillId="0" borderId="11" xfId="0" applyNumberFormat="1" applyFont="1" applyFill="1" applyBorder="1" applyAlignment="1" applyProtection="1">
      <alignment horizontal="center" vertical="center" wrapText="1" shrinkToFit="1"/>
      <protection locked="0"/>
    </xf>
    <xf numFmtId="49" fontId="13" fillId="0" borderId="13" xfId="0" applyNumberFormat="1" applyFont="1" applyFill="1" applyBorder="1" applyAlignment="1" applyProtection="1">
      <alignment horizontal="center" vertical="center" wrapText="1" shrinkToFit="1"/>
      <protection locked="0"/>
    </xf>
    <xf numFmtId="49" fontId="12" fillId="0" borderId="10" xfId="0" applyNumberFormat="1" applyFont="1" applyFill="1" applyBorder="1" applyAlignment="1" applyProtection="1">
      <alignment horizontal="center" vertical="center" wrapText="1" shrinkToFit="1"/>
      <protection locked="0"/>
    </xf>
    <xf numFmtId="49" fontId="13" fillId="0" borderId="12" xfId="0" applyNumberFormat="1" applyFont="1" applyFill="1" applyBorder="1" applyAlignment="1" applyProtection="1">
      <alignment horizontal="center" vertical="center" wrapText="1" shrinkToFit="1"/>
      <protection locked="0"/>
    </xf>
    <xf numFmtId="49" fontId="13" fillId="0" borderId="10" xfId="0" applyNumberFormat="1" applyFont="1" applyFill="1" applyBorder="1" applyAlignment="1" applyProtection="1">
      <alignment horizontal="center" vertical="center" wrapText="1" shrinkToFit="1"/>
      <protection locked="0"/>
    </xf>
    <xf numFmtId="164" fontId="10"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protection/>
    </xf>
    <xf numFmtId="164" fontId="7" fillId="0" borderId="11" xfId="0" applyNumberFormat="1" applyFont="1" applyFill="1" applyBorder="1" applyAlignment="1" applyProtection="1">
      <alignment horizontal="right" vertical="center" wrapText="1" shrinkToFit="1"/>
      <protection locked="0"/>
    </xf>
    <xf numFmtId="164" fontId="7" fillId="0" borderId="13" xfId="0" applyNumberFormat="1" applyFont="1" applyFill="1" applyBorder="1" applyAlignment="1" applyProtection="1">
      <alignment horizontal="right" vertical="center" wrapText="1" shrinkToFit="1"/>
      <protection locked="0"/>
    </xf>
    <xf numFmtId="164" fontId="58" fillId="0" borderId="10" xfId="0" applyNumberFormat="1" applyFont="1" applyFill="1" applyBorder="1" applyAlignment="1" applyProtection="1">
      <alignment horizontal="right" vertical="center" wrapText="1" shrinkToFit="1"/>
      <protection locked="0"/>
    </xf>
    <xf numFmtId="164" fontId="7" fillId="0" borderId="11" xfId="0" applyNumberFormat="1" applyFont="1" applyFill="1" applyBorder="1" applyAlignment="1" applyProtection="1">
      <alignment horizontal="right" vertical="center"/>
      <protection/>
    </xf>
    <xf numFmtId="164" fontId="59" fillId="0" borderId="10"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protection/>
    </xf>
    <xf numFmtId="164" fontId="60"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protection/>
    </xf>
    <xf numFmtId="164" fontId="7" fillId="0" borderId="10"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center" vertical="center" wrapText="1" shrinkToFit="1"/>
      <protection locked="0"/>
    </xf>
    <xf numFmtId="164" fontId="7" fillId="0" borderId="13" xfId="0" applyNumberFormat="1" applyFont="1" applyFill="1" applyBorder="1" applyAlignment="1" applyProtection="1">
      <alignment horizontal="right" vertical="center"/>
      <protection/>
    </xf>
    <xf numFmtId="14" fontId="11" fillId="0" borderId="10" xfId="0" applyNumberFormat="1" applyFont="1" applyFill="1" applyBorder="1" applyAlignment="1" applyProtection="1">
      <alignment horizontal="center" vertical="center" wrapText="1" shrinkToFit="1"/>
      <protection locked="0"/>
    </xf>
    <xf numFmtId="14" fontId="11" fillId="0" borderId="11" xfId="0" applyNumberFormat="1" applyFont="1" applyFill="1" applyBorder="1" applyAlignment="1" applyProtection="1">
      <alignment horizontal="center" vertical="center" wrapText="1" shrinkToFit="1"/>
      <protection locked="0"/>
    </xf>
    <xf numFmtId="14" fontId="11" fillId="0" borderId="12" xfId="0" applyNumberFormat="1" applyFont="1" applyFill="1" applyBorder="1" applyAlignment="1" applyProtection="1">
      <alignment horizontal="center" vertical="center" wrapText="1" shrinkToFit="1"/>
      <protection locked="0"/>
    </xf>
    <xf numFmtId="49" fontId="14" fillId="0" borderId="12" xfId="0" applyNumberFormat="1" applyFont="1" applyFill="1" applyBorder="1" applyAlignment="1">
      <alignment horizontal="center" vertical="center"/>
    </xf>
    <xf numFmtId="0" fontId="5" fillId="0" borderId="13" xfId="0" applyNumberFormat="1" applyFont="1" applyFill="1" applyBorder="1" applyAlignment="1" applyProtection="1">
      <alignment horizontal="center" vertical="center" wrapText="1"/>
      <protection/>
    </xf>
    <xf numFmtId="164" fontId="59" fillId="0" borderId="10" xfId="0" applyNumberFormat="1" applyFont="1" applyFill="1" applyBorder="1" applyAlignment="1" applyProtection="1">
      <alignment horizontal="right" vertical="center"/>
      <protection/>
    </xf>
    <xf numFmtId="164" fontId="10" fillId="0" borderId="10" xfId="0" applyNumberFormat="1" applyFont="1" applyFill="1" applyBorder="1" applyAlignment="1" applyProtection="1">
      <alignment horizontal="right" vertical="center"/>
      <protection/>
    </xf>
    <xf numFmtId="164" fontId="60" fillId="0" borderId="10" xfId="0" applyNumberFormat="1" applyFont="1" applyFill="1" applyBorder="1" applyAlignment="1" applyProtection="1">
      <alignment horizontal="right" vertical="center"/>
      <protection/>
    </xf>
    <xf numFmtId="0" fontId="11" fillId="0" borderId="11"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horizontal="center" vertical="center" wrapText="1" shrinkToFit="1"/>
      <protection locked="0"/>
    </xf>
    <xf numFmtId="0" fontId="15" fillId="0" borderId="10"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center" vertical="center" wrapText="1" shrinkToFit="1"/>
      <protection locked="0"/>
    </xf>
    <xf numFmtId="14" fontId="5" fillId="0" borderId="11"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left" vertical="center" wrapText="1"/>
      <protection/>
    </xf>
    <xf numFmtId="49" fontId="13" fillId="0" borderId="13" xfId="0" applyNumberFormat="1" applyFont="1" applyFill="1" applyBorder="1" applyAlignment="1" applyProtection="1">
      <alignment vertical="center" wrapText="1" shrinkToFit="1"/>
      <protection locked="0"/>
    </xf>
    <xf numFmtId="49" fontId="13" fillId="0" borderId="11" xfId="0" applyNumberFormat="1" applyFont="1" applyFill="1" applyBorder="1" applyAlignment="1" applyProtection="1">
      <alignment vertical="center" wrapText="1" shrinkToFit="1"/>
      <protection locked="0"/>
    </xf>
    <xf numFmtId="49" fontId="13" fillId="0" borderId="12" xfId="0" applyNumberFormat="1" applyFont="1" applyFill="1" applyBorder="1" applyAlignment="1" applyProtection="1">
      <alignment vertical="center" wrapText="1" shrinkToFit="1"/>
      <protection locked="0"/>
    </xf>
    <xf numFmtId="0" fontId="12" fillId="0" borderId="11" xfId="0" applyNumberFormat="1" applyFont="1" applyFill="1" applyBorder="1" applyAlignment="1" applyProtection="1">
      <alignment horizontal="center" vertical="center" wrapText="1"/>
      <protection/>
    </xf>
    <xf numFmtId="0" fontId="11" fillId="0" borderId="10" xfId="53" applyNumberFormat="1" applyFont="1" applyFill="1" applyBorder="1" applyAlignment="1">
      <alignment horizontal="center" vertical="center" wrapText="1"/>
      <protection/>
    </xf>
    <xf numFmtId="0" fontId="11" fillId="0" borderId="13"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left" vertical="center" wrapText="1"/>
      <protection/>
    </xf>
    <xf numFmtId="0" fontId="13" fillId="0" borderId="12" xfId="0" applyNumberFormat="1" applyFont="1" applyFill="1" applyBorder="1" applyAlignment="1" applyProtection="1">
      <alignment vertical="center" wrapText="1"/>
      <protection/>
    </xf>
    <xf numFmtId="0" fontId="13" fillId="0" borderId="13" xfId="0" applyNumberFormat="1" applyFont="1" applyFill="1" applyBorder="1" applyAlignment="1" applyProtection="1">
      <alignment vertical="center" wrapText="1"/>
      <protection/>
    </xf>
    <xf numFmtId="14" fontId="11" fillId="0" borderId="13"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horizontal="center" vertical="center" wrapText="1" shrinkToFit="1"/>
      <protection locked="0"/>
    </xf>
    <xf numFmtId="0" fontId="11" fillId="0" borderId="13"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49" fontId="14" fillId="0" borderId="12" xfId="0" applyNumberFormat="1" applyFont="1" applyFill="1" applyBorder="1" applyAlignment="1" applyProtection="1">
      <alignment horizontal="center" vertical="center" wrapText="1" shrinkToFit="1"/>
      <protection locked="0"/>
    </xf>
    <xf numFmtId="0" fontId="11" fillId="0" borderId="10" xfId="0" applyNumberFormat="1" applyFont="1" applyFill="1" applyBorder="1" applyAlignment="1" applyProtection="1">
      <alignment horizontal="center" vertical="center" wrapText="1"/>
      <protection/>
    </xf>
    <xf numFmtId="49" fontId="12" fillId="0" borderId="12" xfId="0" applyNumberFormat="1" applyFont="1" applyFill="1" applyBorder="1" applyAlignment="1" applyProtection="1">
      <alignment horizontal="center" vertical="center" wrapText="1" shrinkToFit="1"/>
      <protection locked="0"/>
    </xf>
    <xf numFmtId="164" fontId="7" fillId="0" borderId="12" xfId="0" applyNumberFormat="1" applyFont="1" applyFill="1" applyBorder="1" applyAlignment="1" applyProtection="1">
      <alignment vertical="center" wrapText="1" shrinkToFit="1"/>
      <protection locked="0"/>
    </xf>
    <xf numFmtId="49" fontId="14" fillId="0" borderId="10" xfId="0" applyNumberFormat="1" applyFont="1" applyFill="1" applyBorder="1" applyAlignment="1" applyProtection="1">
      <alignment horizontal="center" vertical="center" wrapText="1" shrinkToFit="1"/>
      <protection locked="0"/>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4" fontId="4" fillId="0" borderId="0" xfId="0" applyNumberFormat="1" applyFont="1" applyFill="1" applyBorder="1" applyAlignment="1" applyProtection="1">
      <alignment/>
      <protection/>
    </xf>
    <xf numFmtId="4"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vertical="top"/>
      <protection/>
    </xf>
    <xf numFmtId="0" fontId="1" fillId="0" borderId="0" xfId="53" applyFont="1" applyFill="1" applyBorder="1">
      <alignment/>
      <protection/>
    </xf>
    <xf numFmtId="0" fontId="13" fillId="0" borderId="13" xfId="0" applyNumberFormat="1" applyFont="1" applyFill="1" applyBorder="1" applyAlignment="1" applyProtection="1">
      <alignment horizontal="center" vertical="center" wrapText="1"/>
      <protection/>
    </xf>
    <xf numFmtId="0" fontId="5" fillId="0" borderId="10" xfId="53" applyNumberFormat="1" applyFont="1" applyFill="1" applyBorder="1" applyAlignment="1">
      <alignment horizontal="center" vertical="center" wrapText="1"/>
      <protection/>
    </xf>
    <xf numFmtId="0" fontId="11" fillId="0" borderId="13" xfId="0" applyNumberFormat="1" applyFont="1" applyFill="1" applyBorder="1" applyAlignment="1" applyProtection="1">
      <alignment vertical="center" wrapText="1"/>
      <protection/>
    </xf>
    <xf numFmtId="0" fontId="11" fillId="0" borderId="18"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horizontal="center" vertical="center" wrapText="1" shrinkToFit="1"/>
      <protection locked="0"/>
    </xf>
    <xf numFmtId="0" fontId="5" fillId="0" borderId="12" xfId="53" applyFont="1" applyFill="1" applyBorder="1" applyAlignment="1">
      <alignment horizontal="center" vertical="center" wrapText="1"/>
      <protection/>
    </xf>
    <xf numFmtId="14" fontId="5" fillId="0" borderId="10" xfId="0" applyNumberFormat="1" applyFont="1" applyFill="1" applyBorder="1" applyAlignment="1" applyProtection="1">
      <alignment horizontal="center" vertical="center" wrapText="1" shrinkToFit="1"/>
      <protection locked="0"/>
    </xf>
    <xf numFmtId="0" fontId="13"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49" fontId="13" fillId="0" borderId="10" xfId="0" applyNumberFormat="1" applyFont="1" applyFill="1" applyBorder="1" applyAlignment="1" applyProtection="1">
      <alignment horizontal="center" vertical="center" wrapText="1"/>
      <protection/>
    </xf>
    <xf numFmtId="49" fontId="13"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1" xfId="53" applyNumberFormat="1" applyFont="1" applyFill="1" applyBorder="1" applyAlignment="1">
      <alignment horizontal="center" vertical="center" wrapText="1"/>
      <protection/>
    </xf>
    <xf numFmtId="0" fontId="5" fillId="0" borderId="12" xfId="53" applyNumberFormat="1" applyFont="1" applyFill="1" applyBorder="1" applyAlignment="1">
      <alignment horizontal="center" vertical="center" wrapText="1"/>
      <protection/>
    </xf>
    <xf numFmtId="14" fontId="5" fillId="0" borderId="10" xfId="0" applyNumberFormat="1" applyFont="1" applyFill="1" applyBorder="1" applyAlignment="1" applyProtection="1">
      <alignment horizontal="center" vertical="center" wrapText="1"/>
      <protection/>
    </xf>
    <xf numFmtId="0" fontId="5" fillId="0" borderId="13" xfId="53" applyNumberFormat="1" applyFont="1" applyFill="1" applyBorder="1" applyAlignment="1">
      <alignment horizontal="center" vertical="center" wrapText="1"/>
      <protection/>
    </xf>
    <xf numFmtId="0" fontId="13" fillId="0" borderId="12" xfId="0" applyNumberFormat="1" applyFont="1" applyFill="1" applyBorder="1" applyAlignment="1" applyProtection="1">
      <alignment horizontal="center" vertical="center" wrapText="1"/>
      <protection/>
    </xf>
    <xf numFmtId="16" fontId="5" fillId="0" borderId="11"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49" fontId="13" fillId="0" borderId="19" xfId="0" applyNumberFormat="1" applyFont="1" applyFill="1" applyBorder="1" applyAlignment="1" applyProtection="1">
      <alignment horizontal="center" vertical="center" wrapText="1"/>
      <protection/>
    </xf>
    <xf numFmtId="49" fontId="13"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164" fontId="7" fillId="0" borderId="12" xfId="0" applyNumberFormat="1" applyFont="1" applyFill="1" applyBorder="1" applyAlignment="1" applyProtection="1">
      <alignment vertical="top" wrapText="1" shrinkToFit="1"/>
      <protection locked="0"/>
    </xf>
    <xf numFmtId="164" fontId="7" fillId="0" borderId="12" xfId="0" applyNumberFormat="1" applyFont="1" applyFill="1" applyBorder="1" applyAlignment="1" applyProtection="1">
      <alignment vertical="top"/>
      <protection/>
    </xf>
    <xf numFmtId="164" fontId="7" fillId="0" borderId="12" xfId="0" applyNumberFormat="1" applyFont="1" applyFill="1" applyBorder="1" applyAlignment="1" applyProtection="1">
      <alignment vertical="center"/>
      <protection/>
    </xf>
    <xf numFmtId="164" fontId="7" fillId="0" borderId="11" xfId="0" applyNumberFormat="1" applyFont="1" applyFill="1" applyBorder="1" applyAlignment="1" applyProtection="1">
      <alignment horizontal="right" vertical="center"/>
      <protection/>
    </xf>
    <xf numFmtId="164" fontId="7" fillId="0" borderId="12" xfId="0" applyNumberFormat="1" applyFont="1" applyFill="1" applyBorder="1" applyAlignment="1" applyProtection="1">
      <alignment horizontal="right" vertical="center"/>
      <protection/>
    </xf>
    <xf numFmtId="49" fontId="13" fillId="0" borderId="12" xfId="0" applyNumberFormat="1" applyFont="1" applyFill="1" applyBorder="1" applyAlignment="1" applyProtection="1">
      <alignment horizontal="center" vertical="center" wrapText="1"/>
      <protection/>
    </xf>
    <xf numFmtId="14"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vertical="center" wrapText="1"/>
      <protection/>
    </xf>
    <xf numFmtId="0" fontId="8"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vertical="center" wrapText="1"/>
      <protection/>
    </xf>
    <xf numFmtId="164" fontId="7" fillId="0" borderId="10" xfId="0" applyNumberFormat="1" applyFont="1" applyFill="1" applyBorder="1" applyAlignment="1" applyProtection="1">
      <alignment vertical="center" wrapText="1" shrinkToFit="1"/>
      <protection locked="0"/>
    </xf>
    <xf numFmtId="164" fontId="7" fillId="0" borderId="10" xfId="0" applyNumberFormat="1" applyFont="1" applyFill="1" applyBorder="1" applyAlignment="1" applyProtection="1">
      <alignment vertical="center"/>
      <protection/>
    </xf>
    <xf numFmtId="164" fontId="7" fillId="0" borderId="11" xfId="0" applyNumberFormat="1" applyFont="1" applyFill="1" applyBorder="1" applyAlignment="1" applyProtection="1">
      <alignment vertical="center" wrapText="1" shrinkToFit="1"/>
      <protection locked="0"/>
    </xf>
    <xf numFmtId="164" fontId="7" fillId="0" borderId="11" xfId="0" applyNumberFormat="1" applyFont="1" applyFill="1" applyBorder="1" applyAlignment="1" applyProtection="1">
      <alignment vertical="center"/>
      <protection/>
    </xf>
    <xf numFmtId="0" fontId="8" fillId="0" borderId="0" xfId="53" applyFont="1" applyFill="1" applyAlignment="1">
      <alignment horizontal="center" vertical="center"/>
      <protection/>
    </xf>
    <xf numFmtId="0" fontId="5" fillId="0" borderId="10" xfId="53" applyFont="1" applyFill="1" applyBorder="1" applyAlignment="1">
      <alignment horizontal="center" vertical="center" wrapText="1"/>
      <protection/>
    </xf>
    <xf numFmtId="0" fontId="4" fillId="0" borderId="19" xfId="0" applyNumberFormat="1" applyFont="1" applyFill="1" applyBorder="1" applyAlignment="1" applyProtection="1">
      <alignment horizontal="center" vertical="center" wrapText="1"/>
      <protection/>
    </xf>
    <xf numFmtId="164" fontId="7" fillId="0" borderId="17" xfId="0" applyNumberFormat="1" applyFont="1" applyFill="1" applyBorder="1" applyAlignment="1" applyProtection="1">
      <alignment horizontal="right" vertical="center" wrapText="1" shrinkToFit="1"/>
      <protection locked="0"/>
    </xf>
    <xf numFmtId="164" fontId="7" fillId="0" borderId="17" xfId="0" applyNumberFormat="1" applyFont="1" applyFill="1" applyBorder="1" applyAlignment="1" applyProtection="1">
      <alignment vertical="center" wrapText="1" shrinkToFit="1"/>
      <protection locked="0"/>
    </xf>
    <xf numFmtId="164" fontId="7" fillId="0" borderId="22" xfId="0" applyNumberFormat="1" applyFont="1" applyFill="1" applyBorder="1" applyAlignment="1" applyProtection="1">
      <alignment vertical="center"/>
      <protection/>
    </xf>
    <xf numFmtId="0" fontId="5" fillId="0" borderId="12" xfId="0" applyNumberFormat="1" applyFont="1" applyFill="1" applyBorder="1" applyAlignment="1" applyProtection="1">
      <alignment vertical="center" wrapText="1" shrinkToFit="1"/>
      <protection locked="0"/>
    </xf>
    <xf numFmtId="164" fontId="7" fillId="0" borderId="13" xfId="0" applyNumberFormat="1" applyFont="1" applyFill="1" applyBorder="1" applyAlignment="1" applyProtection="1">
      <alignment vertical="center"/>
      <protection/>
    </xf>
    <xf numFmtId="0" fontId="1" fillId="0" borderId="0" xfId="53" applyFill="1" applyBorder="1">
      <alignment/>
      <protection/>
    </xf>
    <xf numFmtId="0" fontId="4" fillId="0" borderId="0" xfId="53" applyFont="1" applyFill="1" applyBorder="1">
      <alignment/>
      <protection/>
    </xf>
    <xf numFmtId="0" fontId="5" fillId="0" borderId="0" xfId="53" applyFont="1" applyFill="1" applyBorder="1">
      <alignment/>
      <protection/>
    </xf>
    <xf numFmtId="0" fontId="6" fillId="0" borderId="0" xfId="53" applyFont="1" applyFill="1" applyBorder="1">
      <alignment/>
      <protection/>
    </xf>
    <xf numFmtId="0" fontId="4" fillId="0" borderId="0" xfId="53" applyFont="1" applyFill="1" applyBorder="1">
      <alignment/>
      <protection/>
    </xf>
    <xf numFmtId="0" fontId="4" fillId="0" borderId="0" xfId="53" applyFont="1" applyFill="1" applyBorder="1" applyAlignment="1">
      <alignment horizontal="center" vertical="center"/>
      <protection/>
    </xf>
    <xf numFmtId="0" fontId="4" fillId="0" borderId="0" xfId="53" applyFont="1" applyFill="1" applyBorder="1" applyAlignment="1">
      <alignment/>
      <protection/>
    </xf>
    <xf numFmtId="0" fontId="5" fillId="0" borderId="0" xfId="53" applyFont="1" applyFill="1" applyBorder="1" applyAlignment="1">
      <alignment/>
      <protection/>
    </xf>
    <xf numFmtId="164" fontId="4" fillId="0" borderId="0" xfId="0" applyNumberFormat="1" applyFont="1" applyFill="1" applyBorder="1" applyAlignment="1" applyProtection="1">
      <alignment/>
      <protection/>
    </xf>
    <xf numFmtId="164" fontId="7" fillId="0" borderId="13" xfId="0" applyNumberFormat="1" applyFont="1" applyFill="1" applyBorder="1" applyAlignment="1" applyProtection="1">
      <alignment vertical="center" wrapText="1" shrinkToFit="1"/>
      <protection locked="0"/>
    </xf>
    <xf numFmtId="0" fontId="4" fillId="0" borderId="0" xfId="0" applyNumberFormat="1" applyFont="1" applyFill="1" applyBorder="1" applyAlignment="1" applyProtection="1">
      <alignment horizontal="right" vertical="top"/>
      <protection/>
    </xf>
    <xf numFmtId="0" fontId="4" fillId="0" borderId="0" xfId="0" applyNumberFormat="1" applyFont="1" applyFill="1" applyBorder="1" applyAlignment="1" applyProtection="1">
      <alignment horizontal="center"/>
      <protection/>
    </xf>
    <xf numFmtId="49" fontId="14" fillId="0" borderId="10" xfId="0" applyNumberFormat="1" applyFont="1" applyFill="1" applyBorder="1" applyAlignment="1">
      <alignment horizontal="center" vertical="center"/>
    </xf>
    <xf numFmtId="0" fontId="19" fillId="0" borderId="11"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164" fontId="59" fillId="0" borderId="13" xfId="0" applyNumberFormat="1" applyFont="1" applyFill="1" applyBorder="1" applyAlignment="1" applyProtection="1">
      <alignment horizontal="right" vertical="center" wrapText="1" shrinkToFit="1"/>
      <protection locked="0"/>
    </xf>
    <xf numFmtId="49" fontId="13" fillId="0" borderId="10" xfId="0" applyNumberFormat="1" applyFont="1" applyFill="1" applyBorder="1" applyAlignment="1" applyProtection="1">
      <alignment vertical="center" wrapText="1" shrinkToFit="1"/>
      <protection locked="0"/>
    </xf>
    <xf numFmtId="0" fontId="0" fillId="0" borderId="0" xfId="0" applyFill="1" applyAlignment="1">
      <alignment/>
    </xf>
    <xf numFmtId="0" fontId="0" fillId="0" borderId="13" xfId="0" applyFill="1" applyBorder="1" applyAlignment="1">
      <alignment/>
    </xf>
    <xf numFmtId="0" fontId="13" fillId="0" borderId="10" xfId="0"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0" fontId="13" fillId="0" borderId="11" xfId="0" applyNumberFormat="1" applyFont="1" applyFill="1" applyBorder="1" applyAlignment="1" applyProtection="1">
      <alignment horizontal="left" vertical="center" wrapText="1"/>
      <protection/>
    </xf>
    <xf numFmtId="0" fontId="5" fillId="0" borderId="23" xfId="0" applyNumberFormat="1" applyFont="1" applyFill="1" applyBorder="1" applyAlignment="1" applyProtection="1">
      <alignment horizontal="center" vertical="center" wrapText="1" shrinkToFit="1"/>
      <protection locked="0"/>
    </xf>
    <xf numFmtId="0" fontId="19" fillId="0" borderId="12" xfId="0" applyFont="1" applyFill="1" applyBorder="1" applyAlignment="1">
      <alignment horizontal="left" vertical="center" wrapText="1"/>
    </xf>
    <xf numFmtId="0" fontId="11" fillId="0" borderId="12" xfId="53" applyNumberFormat="1" applyFont="1" applyFill="1" applyBorder="1" applyAlignment="1">
      <alignment horizontal="center" vertical="center" wrapText="1"/>
      <protection/>
    </xf>
    <xf numFmtId="0" fontId="5" fillId="0" borderId="10" xfId="0" applyNumberFormat="1" applyFont="1" applyFill="1" applyBorder="1" applyAlignment="1" applyProtection="1">
      <alignment horizontal="left" vertical="center" wrapText="1" shrinkToFit="1"/>
      <protection locked="0"/>
    </xf>
    <xf numFmtId="0" fontId="5" fillId="0" borderId="11" xfId="0" applyNumberFormat="1" applyFont="1" applyFill="1" applyBorder="1" applyAlignment="1" applyProtection="1">
      <alignment horizontal="left" vertical="center" wrapText="1" shrinkToFit="1"/>
      <protection locked="0"/>
    </xf>
    <xf numFmtId="0" fontId="5" fillId="0" borderId="13" xfId="0" applyNumberFormat="1" applyFont="1" applyFill="1" applyBorder="1" applyAlignment="1" applyProtection="1">
      <alignment horizontal="left" vertical="center" wrapText="1" shrinkToFit="1"/>
      <protection locked="0"/>
    </xf>
    <xf numFmtId="0" fontId="11" fillId="0" borderId="11"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vertical="center" wrapText="1"/>
      <protection/>
    </xf>
    <xf numFmtId="164" fontId="7" fillId="0" borderId="11"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wrapText="1" shrinkToFit="1"/>
      <protection locked="0"/>
    </xf>
    <xf numFmtId="0" fontId="5" fillId="0" borderId="11"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center" vertical="center" wrapText="1" shrinkToFit="1"/>
      <protection locked="0"/>
    </xf>
    <xf numFmtId="14" fontId="5" fillId="0" borderId="11" xfId="0" applyNumberFormat="1" applyFont="1" applyFill="1" applyBorder="1" applyAlignment="1" applyProtection="1">
      <alignment horizontal="center" vertical="center" wrapText="1" shrinkToFit="1"/>
      <protection locked="0"/>
    </xf>
    <xf numFmtId="14" fontId="5" fillId="0" borderId="13" xfId="0" applyNumberFormat="1" applyFont="1" applyFill="1" applyBorder="1" applyAlignment="1" applyProtection="1">
      <alignment horizontal="center" vertical="center" wrapText="1" shrinkToFit="1"/>
      <protection locked="0"/>
    </xf>
    <xf numFmtId="14" fontId="5" fillId="0" borderId="12" xfId="0" applyNumberFormat="1" applyFont="1" applyFill="1" applyBorder="1" applyAlignment="1" applyProtection="1">
      <alignment horizontal="center" vertical="center" wrapText="1" shrinkToFit="1"/>
      <protection locked="0"/>
    </xf>
    <xf numFmtId="0" fontId="12" fillId="0" borderId="11"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49" fontId="12" fillId="0" borderId="11" xfId="0" applyNumberFormat="1" applyFont="1" applyFill="1" applyBorder="1" applyAlignment="1" applyProtection="1">
      <alignment horizontal="center" vertical="center" wrapText="1" shrinkToFit="1"/>
      <protection locked="0"/>
    </xf>
    <xf numFmtId="49" fontId="12" fillId="0" borderId="12" xfId="0" applyNumberFormat="1" applyFont="1" applyFill="1" applyBorder="1" applyAlignment="1" applyProtection="1">
      <alignment horizontal="center" vertical="center" wrapText="1" shrinkToFit="1"/>
      <protection locked="0"/>
    </xf>
    <xf numFmtId="0" fontId="13" fillId="0" borderId="11"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49" fontId="13" fillId="0" borderId="11" xfId="0" applyNumberFormat="1" applyFont="1" applyFill="1" applyBorder="1" applyAlignment="1" applyProtection="1">
      <alignment horizontal="center" vertical="center" wrapText="1" shrinkToFit="1"/>
      <protection locked="0"/>
    </xf>
    <xf numFmtId="49" fontId="13" fillId="0" borderId="13"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shrinkToFit="1"/>
      <protection locked="0"/>
    </xf>
    <xf numFmtId="0" fontId="11" fillId="0" borderId="11" xfId="0" applyNumberFormat="1" applyFont="1" applyFill="1" applyBorder="1" applyAlignment="1" applyProtection="1">
      <alignment horizontal="center" vertical="center" wrapText="1" shrinkToFit="1"/>
      <protection locked="0"/>
    </xf>
    <xf numFmtId="0" fontId="11" fillId="0" borderId="12"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center" vertical="center" wrapText="1" shrinkToFit="1"/>
      <protection locked="0"/>
    </xf>
    <xf numFmtId="0" fontId="11" fillId="0" borderId="11"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49" fontId="14" fillId="0" borderId="11"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49" fontId="13" fillId="0" borderId="10" xfId="0" applyNumberFormat="1" applyFont="1" applyFill="1" applyBorder="1" applyAlignment="1" applyProtection="1">
      <alignment horizontal="center" vertical="center" wrapText="1"/>
      <protection/>
    </xf>
    <xf numFmtId="49" fontId="13" fillId="0" borderId="1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14" fontId="11" fillId="0" borderId="11" xfId="0" applyNumberFormat="1" applyFont="1" applyFill="1" applyBorder="1" applyAlignment="1" applyProtection="1">
      <alignment horizontal="center" vertical="center" wrapText="1" shrinkToFit="1"/>
      <protection locked="0"/>
    </xf>
    <xf numFmtId="14" fontId="11" fillId="0" borderId="12" xfId="0" applyNumberFormat="1" applyFont="1" applyFill="1" applyBorder="1" applyAlignment="1" applyProtection="1">
      <alignment horizontal="center" vertical="center" wrapText="1" shrinkToFit="1"/>
      <protection locked="0"/>
    </xf>
    <xf numFmtId="0" fontId="5" fillId="0" borderId="24" xfId="0" applyNumberFormat="1" applyFont="1" applyFill="1" applyBorder="1" applyAlignment="1" applyProtection="1">
      <alignment horizontal="center" vertical="center" wrapText="1" shrinkToFit="1"/>
      <protection locked="0"/>
    </xf>
    <xf numFmtId="0" fontId="5" fillId="0" borderId="25" xfId="0" applyNumberFormat="1" applyFont="1" applyFill="1" applyBorder="1" applyAlignment="1" applyProtection="1">
      <alignment horizontal="center" vertical="center" wrapText="1" shrinkToFit="1"/>
      <protection locked="0"/>
    </xf>
    <xf numFmtId="0" fontId="5" fillId="0" borderId="26" xfId="0" applyNumberFormat="1" applyFont="1" applyFill="1" applyBorder="1" applyAlignment="1" applyProtection="1">
      <alignment horizontal="center" vertical="center" wrapText="1" shrinkToFit="1"/>
      <protection locked="0"/>
    </xf>
    <xf numFmtId="0" fontId="9"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left" vertical="center" wrapText="1"/>
      <protection/>
    </xf>
    <xf numFmtId="0" fontId="8" fillId="0" borderId="27"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xf>
    <xf numFmtId="0" fontId="13"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164" fontId="7" fillId="0" borderId="11" xfId="0" applyNumberFormat="1" applyFont="1" applyFill="1" applyBorder="1" applyAlignment="1" applyProtection="1">
      <alignment horizontal="right" vertical="center"/>
      <protection/>
    </xf>
    <xf numFmtId="164" fontId="7" fillId="0" borderId="13" xfId="0" applyNumberFormat="1" applyFont="1" applyFill="1" applyBorder="1" applyAlignment="1" applyProtection="1">
      <alignment horizontal="right" vertical="center"/>
      <protection/>
    </xf>
    <xf numFmtId="164" fontId="7" fillId="0" borderId="13" xfId="0" applyNumberFormat="1" applyFont="1" applyFill="1" applyBorder="1" applyAlignment="1" applyProtection="1">
      <alignment horizontal="right" vertical="center" wrapText="1" shrinkToFit="1"/>
      <protection locked="0"/>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8" fillId="0" borderId="12" xfId="0" applyFont="1" applyFill="1" applyBorder="1" applyAlignment="1">
      <alignment horizontal="center" vertical="center"/>
    </xf>
    <xf numFmtId="49" fontId="13" fillId="0" borderId="12" xfId="0" applyNumberFormat="1" applyFont="1" applyFill="1" applyBorder="1" applyAlignment="1" applyProtection="1">
      <alignment horizontal="center" vertical="center" wrapText="1" shrinkToFit="1"/>
      <protection locked="0"/>
    </xf>
    <xf numFmtId="164" fontId="7" fillId="0" borderId="11" xfId="0" applyNumberFormat="1" applyFont="1" applyFill="1" applyBorder="1" applyAlignment="1" applyProtection="1">
      <alignment vertical="center" wrapText="1" shrinkToFit="1"/>
      <protection locked="0"/>
    </xf>
    <xf numFmtId="164" fontId="7" fillId="0" borderId="13" xfId="0" applyNumberFormat="1" applyFont="1" applyFill="1" applyBorder="1" applyAlignment="1" applyProtection="1">
      <alignment vertical="center" wrapText="1" shrinkToFit="1"/>
      <protection locked="0"/>
    </xf>
    <xf numFmtId="164" fontId="7" fillId="0" borderId="11" xfId="0" applyNumberFormat="1" applyFont="1" applyFill="1" applyBorder="1" applyAlignment="1" applyProtection="1">
      <alignment vertical="center"/>
      <protection/>
    </xf>
    <xf numFmtId="164" fontId="7" fillId="0" borderId="13" xfId="0" applyNumberFormat="1" applyFont="1" applyFill="1" applyBorder="1" applyAlignment="1" applyProtection="1">
      <alignment vertical="center"/>
      <protection/>
    </xf>
    <xf numFmtId="0" fontId="5" fillId="0" borderId="13"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164" fontId="7" fillId="0" borderId="12" xfId="0" applyNumberFormat="1" applyFont="1" applyFill="1" applyBorder="1" applyAlignment="1" applyProtection="1">
      <alignment horizontal="right" vertical="center"/>
      <protection/>
    </xf>
    <xf numFmtId="0" fontId="8" fillId="0" borderId="11"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left" vertical="center" wrapText="1"/>
      <protection/>
    </xf>
    <xf numFmtId="49" fontId="12" fillId="0" borderId="13"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164" fontId="10" fillId="0" borderId="11" xfId="0" applyNumberFormat="1" applyFont="1" applyFill="1" applyBorder="1" applyAlignment="1" applyProtection="1">
      <alignment horizontal="right" vertical="center" wrapText="1" shrinkToFit="1"/>
      <protection locked="0"/>
    </xf>
    <xf numFmtId="164" fontId="10" fillId="0" borderId="13" xfId="0" applyNumberFormat="1" applyFont="1" applyFill="1" applyBorder="1" applyAlignment="1" applyProtection="1">
      <alignment horizontal="right" vertical="center" wrapText="1" shrinkToFit="1"/>
      <protection locked="0"/>
    </xf>
    <xf numFmtId="164" fontId="10" fillId="0" borderId="12" xfId="0" applyNumberFormat="1" applyFont="1" applyFill="1" applyBorder="1" applyAlignment="1" applyProtection="1">
      <alignment horizontal="right" vertical="center" wrapText="1" shrinkToFit="1"/>
      <protection locked="0"/>
    </xf>
    <xf numFmtId="164" fontId="58" fillId="0" borderId="11" xfId="0" applyNumberFormat="1" applyFont="1" applyFill="1" applyBorder="1" applyAlignment="1" applyProtection="1">
      <alignment horizontal="right" vertical="center" wrapText="1" shrinkToFit="1"/>
      <protection locked="0"/>
    </xf>
    <xf numFmtId="164" fontId="58" fillId="0" borderId="12" xfId="0" applyNumberFormat="1" applyFont="1" applyFill="1" applyBorder="1" applyAlignment="1" applyProtection="1">
      <alignment horizontal="right" vertical="center" wrapText="1" shrinkToFit="1"/>
      <protection locked="0"/>
    </xf>
    <xf numFmtId="0" fontId="13" fillId="0" borderId="11" xfId="0" applyNumberFormat="1" applyFont="1" applyFill="1" applyBorder="1" applyAlignment="1" applyProtection="1">
      <alignment horizontal="left" vertical="center" wrapText="1"/>
      <protection/>
    </xf>
    <xf numFmtId="0" fontId="13" fillId="0" borderId="13" xfId="0" applyNumberFormat="1" applyFont="1" applyFill="1" applyBorder="1" applyAlignment="1" applyProtection="1">
      <alignment horizontal="left" vertical="center" wrapText="1"/>
      <protection/>
    </xf>
    <xf numFmtId="0" fontId="13" fillId="0" borderId="12" xfId="0" applyNumberFormat="1" applyFont="1" applyFill="1" applyBorder="1" applyAlignment="1" applyProtection="1">
      <alignment horizontal="left" vertical="center" wrapText="1"/>
      <protection/>
    </xf>
    <xf numFmtId="0" fontId="11" fillId="0" borderId="13" xfId="0" applyNumberFormat="1" applyFont="1" applyFill="1" applyBorder="1" applyAlignment="1" applyProtection="1">
      <alignment horizontal="center" vertical="center" wrapText="1" shrinkToFit="1"/>
      <protection locked="0"/>
    </xf>
    <xf numFmtId="0" fontId="13" fillId="0" borderId="11"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49" fontId="13" fillId="0" borderId="11" xfId="0" applyNumberFormat="1" applyFont="1" applyFill="1" applyBorder="1" applyAlignment="1" applyProtection="1">
      <alignment horizontal="center" vertical="center" wrapText="1"/>
      <protection/>
    </xf>
    <xf numFmtId="49" fontId="13"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shrinkToFit="1"/>
      <protection locked="0"/>
    </xf>
    <xf numFmtId="0" fontId="8" fillId="0" borderId="24" xfId="0" applyNumberFormat="1" applyFont="1" applyFill="1" applyBorder="1" applyAlignment="1" applyProtection="1">
      <alignment horizontal="left" vertical="center" wrapText="1"/>
      <protection/>
    </xf>
    <xf numFmtId="0" fontId="8" fillId="0" borderId="29" xfId="0" applyNumberFormat="1" applyFont="1" applyFill="1" applyBorder="1" applyAlignment="1" applyProtection="1">
      <alignment horizontal="left" vertical="center" wrapText="1"/>
      <protection/>
    </xf>
    <xf numFmtId="0" fontId="8" fillId="0" borderId="21" xfId="0" applyNumberFormat="1" applyFont="1" applyFill="1" applyBorder="1" applyAlignment="1" applyProtection="1">
      <alignment horizontal="left" vertical="center" wrapText="1"/>
      <protection/>
    </xf>
    <xf numFmtId="0" fontId="11" fillId="0" borderId="11" xfId="53" applyNumberFormat="1" applyFont="1" applyFill="1" applyBorder="1" applyAlignment="1">
      <alignment horizontal="center" vertical="center" wrapText="1"/>
      <protection/>
    </xf>
    <xf numFmtId="0" fontId="11" fillId="0" borderId="12" xfId="53" applyNumberFormat="1" applyFont="1" applyFill="1" applyBorder="1" applyAlignment="1">
      <alignment horizontal="center" vertical="center" wrapText="1"/>
      <protection/>
    </xf>
    <xf numFmtId="49" fontId="13" fillId="0" borderId="10" xfId="0" applyNumberFormat="1" applyFont="1" applyFill="1" applyBorder="1" applyAlignment="1" applyProtection="1">
      <alignment horizontal="center" vertical="center" wrapText="1" shrinkToFit="1"/>
      <protection locked="0"/>
    </xf>
    <xf numFmtId="164" fontId="7"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protection/>
    </xf>
    <xf numFmtId="0" fontId="0" fillId="0" borderId="27" xfId="0" applyFill="1" applyBorder="1" applyAlignment="1">
      <alignment horizontal="left" vertical="center" wrapText="1"/>
    </xf>
    <xf numFmtId="0" fontId="0" fillId="0" borderId="19" xfId="0" applyFill="1" applyBorder="1" applyAlignment="1">
      <alignment horizontal="left" vertical="center" wrapText="1"/>
    </xf>
    <xf numFmtId="0" fontId="11" fillId="0" borderId="13" xfId="0" applyNumberFormat="1" applyFont="1" applyFill="1" applyBorder="1" applyAlignment="1" applyProtection="1">
      <alignment horizontal="left" vertical="center" wrapText="1"/>
      <protection/>
    </xf>
    <xf numFmtId="0" fontId="0" fillId="0" borderId="0" xfId="0" applyFill="1" applyAlignment="1">
      <alignment/>
    </xf>
    <xf numFmtId="0" fontId="13" fillId="0" borderId="13"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49" fontId="13" fillId="0" borderId="13"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164" fontId="7" fillId="0" borderId="11" xfId="0" applyNumberFormat="1" applyFont="1" applyFill="1" applyBorder="1" applyAlignment="1" applyProtection="1">
      <alignment horizontal="right" vertical="center"/>
      <protection/>
    </xf>
    <xf numFmtId="164" fontId="7" fillId="0" borderId="12" xfId="0" applyNumberFormat="1" applyFont="1" applyFill="1" applyBorder="1" applyAlignment="1" applyProtection="1">
      <alignment horizontal="right" vertical="center"/>
      <protection/>
    </xf>
    <xf numFmtId="164" fontId="7" fillId="0" borderId="13" xfId="0" applyNumberFormat="1" applyFont="1" applyFill="1" applyBorder="1" applyAlignment="1" applyProtection="1">
      <alignment horizontal="right" vertical="center"/>
      <protection/>
    </xf>
    <xf numFmtId="49" fontId="13" fillId="0" borderId="24" xfId="0" applyNumberFormat="1" applyFont="1" applyFill="1" applyBorder="1" applyAlignment="1" applyProtection="1">
      <alignment horizontal="center" vertical="center" wrapText="1"/>
      <protection/>
    </xf>
    <xf numFmtId="49" fontId="13" fillId="0" borderId="26"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49" fontId="13" fillId="0" borderId="11" xfId="0" applyNumberFormat="1" applyFont="1" applyFill="1" applyBorder="1" applyAlignment="1" applyProtection="1">
      <alignment horizontal="center" vertical="center" wrapText="1"/>
      <protection/>
    </xf>
    <xf numFmtId="49" fontId="13" fillId="0" borderId="12"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3" fillId="0" borderId="11" xfId="0" applyNumberFormat="1" applyFont="1" applyFill="1" applyBorder="1" applyAlignment="1" applyProtection="1">
      <alignment horizontal="center" wrapText="1"/>
      <protection/>
    </xf>
    <xf numFmtId="0" fontId="13" fillId="0" borderId="13" xfId="0" applyNumberFormat="1" applyFont="1" applyFill="1" applyBorder="1" applyAlignment="1" applyProtection="1">
      <alignment horizontal="center" wrapText="1"/>
      <protection/>
    </xf>
    <xf numFmtId="0" fontId="13" fillId="0" borderId="12" xfId="0" applyNumberFormat="1" applyFont="1" applyFill="1" applyBorder="1" applyAlignment="1" applyProtection="1">
      <alignment horizontal="center" wrapText="1"/>
      <protection/>
    </xf>
    <xf numFmtId="0" fontId="17" fillId="0" borderId="28" xfId="0" applyNumberFormat="1" applyFont="1" applyFill="1" applyBorder="1" applyAlignment="1" applyProtection="1">
      <alignment horizontal="left" vertical="center" wrapText="1"/>
      <protection/>
    </xf>
    <xf numFmtId="0" fontId="17" fillId="0" borderId="27" xfId="0" applyNumberFormat="1" applyFont="1" applyFill="1" applyBorder="1" applyAlignment="1" applyProtection="1">
      <alignment horizontal="left" vertical="center" wrapText="1"/>
      <protection/>
    </xf>
    <xf numFmtId="0" fontId="17" fillId="0" borderId="1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right" vertical="top"/>
      <protection/>
    </xf>
    <xf numFmtId="0" fontId="5" fillId="0" borderId="13" xfId="0" applyNumberFormat="1" applyFont="1" applyFill="1" applyBorder="1" applyAlignment="1" applyProtection="1">
      <alignment horizontal="left" vertical="center" wrapText="1" shrinkToFit="1"/>
      <protection locked="0"/>
    </xf>
    <xf numFmtId="0" fontId="5" fillId="0" borderId="12" xfId="0" applyNumberFormat="1" applyFont="1" applyFill="1" applyBorder="1" applyAlignment="1" applyProtection="1">
      <alignment horizontal="left" vertical="center" wrapText="1" shrinkToFit="1"/>
      <protection locked="0"/>
    </xf>
    <xf numFmtId="0" fontId="5" fillId="0" borderId="11" xfId="0" applyNumberFormat="1" applyFont="1" applyFill="1" applyBorder="1" applyAlignment="1" applyProtection="1">
      <alignment horizontal="left" vertical="center" wrapText="1" shrinkToFi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09"/>
  <sheetViews>
    <sheetView tabSelected="1" zoomScalePageLayoutView="0" workbookViewId="0" topLeftCell="A1">
      <pane xSplit="4" ySplit="2" topLeftCell="E303" activePane="bottomRight" state="frozen"/>
      <selection pane="topLeft" activeCell="A1" sqref="A1"/>
      <selection pane="topRight" activeCell="E1" sqref="E1"/>
      <selection pane="bottomLeft" activeCell="A3" sqref="A3"/>
      <selection pane="bottomRight" activeCell="B408" sqref="B408"/>
    </sheetView>
  </sheetViews>
  <sheetFormatPr defaultColWidth="9.00390625" defaultRowHeight="12.75" outlineLevelRow="1" outlineLevelCol="1"/>
  <cols>
    <col min="1" max="1" width="3.75390625" style="5" customWidth="1"/>
    <col min="2" max="2" width="30.625" style="5" customWidth="1"/>
    <col min="3" max="3" width="0.12890625" style="5" hidden="1" customWidth="1"/>
    <col min="4" max="4" width="3.125" style="5" customWidth="1"/>
    <col min="5" max="5" width="21.875" style="5" customWidth="1"/>
    <col min="6" max="6" width="5.625" style="5" customWidth="1"/>
    <col min="7" max="7" width="9.25390625" style="5" customWidth="1"/>
    <col min="8" max="8" width="27.75390625" style="5" customWidth="1"/>
    <col min="9" max="9" width="5.625" style="5" customWidth="1"/>
    <col min="10" max="10" width="9.00390625" style="5" customWidth="1"/>
    <col min="11" max="11" width="48.25390625" style="5" customWidth="1"/>
    <col min="12" max="12" width="6.00390625" style="5" customWidth="1" outlineLevel="1"/>
    <col min="13" max="13" width="8.875" style="5" customWidth="1" outlineLevel="1"/>
    <col min="14" max="14" width="9.125" style="5" customWidth="1"/>
    <col min="15" max="15" width="9.00390625" style="5" customWidth="1"/>
    <col min="16" max="16" width="8.875" style="5" customWidth="1"/>
    <col min="17" max="17" width="7.75390625" style="5" customWidth="1"/>
    <col min="18" max="18" width="9.00390625" style="1" customWidth="1"/>
    <col min="19" max="23" width="9.125" style="170" customWidth="1"/>
    <col min="24" max="16384" width="9.125" style="152" customWidth="1"/>
  </cols>
  <sheetData>
    <row r="1" spans="1:17" ht="37.5" customHeight="1">
      <c r="A1" s="223" t="s">
        <v>1129</v>
      </c>
      <c r="B1" s="223"/>
      <c r="C1" s="223"/>
      <c r="D1" s="223"/>
      <c r="E1" s="223"/>
      <c r="F1" s="223"/>
      <c r="G1" s="223"/>
      <c r="H1" s="223"/>
      <c r="I1" s="223"/>
      <c r="J1" s="223"/>
      <c r="K1" s="223"/>
      <c r="L1" s="223"/>
      <c r="M1" s="223"/>
      <c r="N1" s="223"/>
      <c r="O1" s="223"/>
      <c r="P1" s="223"/>
      <c r="Q1" s="223"/>
    </row>
    <row r="2" spans="1:18" s="153" customFormat="1" ht="42" customHeight="1">
      <c r="A2" s="224" t="s">
        <v>192</v>
      </c>
      <c r="B2" s="224"/>
      <c r="C2" s="22"/>
      <c r="D2" s="224" t="s">
        <v>139</v>
      </c>
      <c r="E2" s="224" t="s">
        <v>226</v>
      </c>
      <c r="F2" s="224"/>
      <c r="G2" s="224"/>
      <c r="H2" s="224" t="s">
        <v>227</v>
      </c>
      <c r="I2" s="224"/>
      <c r="J2" s="224"/>
      <c r="K2" s="224" t="s">
        <v>120</v>
      </c>
      <c r="L2" s="224"/>
      <c r="M2" s="224"/>
      <c r="N2" s="224" t="s">
        <v>1133</v>
      </c>
      <c r="O2" s="224"/>
      <c r="P2" s="224" t="s">
        <v>1132</v>
      </c>
      <c r="Q2" s="225" t="s">
        <v>121</v>
      </c>
      <c r="R2" s="226"/>
    </row>
    <row r="3" spans="1:18" s="153" customFormat="1" ht="92.25" customHeight="1">
      <c r="A3" s="224"/>
      <c r="B3" s="224"/>
      <c r="C3" s="22"/>
      <c r="D3" s="224"/>
      <c r="E3" s="10" t="s">
        <v>122</v>
      </c>
      <c r="F3" s="10" t="s">
        <v>206</v>
      </c>
      <c r="G3" s="10" t="s">
        <v>207</v>
      </c>
      <c r="H3" s="10" t="s">
        <v>122</v>
      </c>
      <c r="I3" s="10" t="s">
        <v>206</v>
      </c>
      <c r="J3" s="10" t="s">
        <v>207</v>
      </c>
      <c r="K3" s="10" t="s">
        <v>122</v>
      </c>
      <c r="L3" s="10" t="s">
        <v>206</v>
      </c>
      <c r="M3" s="10" t="s">
        <v>311</v>
      </c>
      <c r="N3" s="10" t="s">
        <v>208</v>
      </c>
      <c r="O3" s="10" t="s">
        <v>203</v>
      </c>
      <c r="P3" s="224"/>
      <c r="Q3" s="146" t="s">
        <v>1130</v>
      </c>
      <c r="R3" s="10" t="s">
        <v>1131</v>
      </c>
    </row>
    <row r="4" spans="1:18" s="153" customFormat="1" ht="12.75" customHeight="1">
      <c r="A4" s="10" t="s">
        <v>204</v>
      </c>
      <c r="B4" s="10"/>
      <c r="C4" s="10" t="s">
        <v>205</v>
      </c>
      <c r="D4" s="10" t="s">
        <v>90</v>
      </c>
      <c r="E4" s="10" t="s">
        <v>91</v>
      </c>
      <c r="F4" s="10" t="s">
        <v>92</v>
      </c>
      <c r="G4" s="10" t="s">
        <v>93</v>
      </c>
      <c r="H4" s="10" t="s">
        <v>94</v>
      </c>
      <c r="I4" s="10" t="s">
        <v>95</v>
      </c>
      <c r="J4" s="10" t="s">
        <v>96</v>
      </c>
      <c r="K4" s="10" t="s">
        <v>97</v>
      </c>
      <c r="L4" s="10" t="s">
        <v>98</v>
      </c>
      <c r="M4" s="10" t="s">
        <v>99</v>
      </c>
      <c r="N4" s="10" t="s">
        <v>72</v>
      </c>
      <c r="O4" s="10" t="s">
        <v>73</v>
      </c>
      <c r="P4" s="10" t="s">
        <v>74</v>
      </c>
      <c r="Q4" s="23" t="s">
        <v>1134</v>
      </c>
      <c r="R4" s="23" t="s">
        <v>33</v>
      </c>
    </row>
    <row r="5" spans="1:18" s="153" customFormat="1" ht="12.75" customHeight="1">
      <c r="A5" s="34" t="s">
        <v>251</v>
      </c>
      <c r="B5" s="227" t="s">
        <v>252</v>
      </c>
      <c r="C5" s="228"/>
      <c r="D5" s="228"/>
      <c r="E5" s="228"/>
      <c r="F5" s="228"/>
      <c r="G5" s="228"/>
      <c r="H5" s="228"/>
      <c r="I5" s="228"/>
      <c r="J5" s="228"/>
      <c r="K5" s="228"/>
      <c r="L5" s="228"/>
      <c r="M5" s="229"/>
      <c r="N5" s="13"/>
      <c r="O5" s="13"/>
      <c r="P5" s="13"/>
      <c r="Q5" s="12"/>
      <c r="R5" s="12"/>
    </row>
    <row r="6" spans="1:18" s="153" customFormat="1" ht="11.25" customHeight="1">
      <c r="A6" s="34" t="s">
        <v>0</v>
      </c>
      <c r="B6" s="227" t="s">
        <v>274</v>
      </c>
      <c r="C6" s="228"/>
      <c r="D6" s="228"/>
      <c r="E6" s="228"/>
      <c r="F6" s="228"/>
      <c r="G6" s="228"/>
      <c r="H6" s="228"/>
      <c r="I6" s="228"/>
      <c r="J6" s="228"/>
      <c r="K6" s="228"/>
      <c r="L6" s="228"/>
      <c r="M6" s="229"/>
      <c r="N6" s="46">
        <f>N7+N18+N23+N28+N29+N36+N41+N44+N48+N55+N69+N115+N135+N139+N144+N149+N152+N156+N154+N162+N169+N178+N192+N197+N211</f>
        <v>485646.5499100001</v>
      </c>
      <c r="O6" s="46">
        <f>O7+O18+O23+O28+O29+O36+O41+O44+O48+O55+O69+O115+O135+O139+O144+O149+O152+O156+O154+O162+O169+O178+O192+O197+O211</f>
        <v>467416.74616</v>
      </c>
      <c r="P6" s="46">
        <f>P7+P18+P23+P28+P29+P36+P41+P44+P48+P55+P69+P115+P135+P139+P144+P149+P152+P156+P154+P162+P169+P178+P192+P197+P211</f>
        <v>469327.41300000006</v>
      </c>
      <c r="Q6" s="46">
        <f>Q7+Q18+Q23+Q28+Q29+Q36+Q41+Q44+Q48+Q55+Q69+Q115+Q135+Q139+Q144+Q149+Q152+Q156+Q154+Q162+Q169+Q178+Q192+Q197+Q211</f>
        <v>449057.3000000001</v>
      </c>
      <c r="R6" s="46">
        <f>R7+R18+R23+R28+R29+R36+R41+R44+R48+R55+R69+R115+R135+R139+R144+R149+R152+R156+R154+R162+R169+R178+R192+R197+R211</f>
        <v>457779.19999999995</v>
      </c>
    </row>
    <row r="7" spans="1:18" s="153" customFormat="1" ht="12" customHeight="1">
      <c r="A7" s="34" t="s">
        <v>25</v>
      </c>
      <c r="B7" s="227" t="s">
        <v>209</v>
      </c>
      <c r="C7" s="228"/>
      <c r="D7" s="228"/>
      <c r="E7" s="228"/>
      <c r="F7" s="228"/>
      <c r="G7" s="228"/>
      <c r="H7" s="228"/>
      <c r="I7" s="228"/>
      <c r="J7" s="228"/>
      <c r="K7" s="228"/>
      <c r="L7" s="228"/>
      <c r="M7" s="229"/>
      <c r="N7" s="46">
        <f>SUM(N8:N17)</f>
        <v>57973.613240000006</v>
      </c>
      <c r="O7" s="46">
        <f>SUM(O8:O17)</f>
        <v>56872.98182000001</v>
      </c>
      <c r="P7" s="46">
        <f>SUM(P8:P17)</f>
        <v>78878.33042000001</v>
      </c>
      <c r="Q7" s="46">
        <f>SUM(Q8:Q17)</f>
        <v>96270.9</v>
      </c>
      <c r="R7" s="46">
        <f>SUM(R8:R17)</f>
        <v>98530.5</v>
      </c>
    </row>
    <row r="8" spans="1:18" s="154" customFormat="1" ht="61.5" customHeight="1">
      <c r="A8" s="35"/>
      <c r="B8" s="7" t="s">
        <v>268</v>
      </c>
      <c r="C8" s="8"/>
      <c r="D8" s="40" t="s">
        <v>269</v>
      </c>
      <c r="E8" s="3" t="s">
        <v>28</v>
      </c>
      <c r="F8" s="3" t="s">
        <v>799</v>
      </c>
      <c r="G8" s="6" t="s">
        <v>781</v>
      </c>
      <c r="H8" s="3"/>
      <c r="I8" s="3"/>
      <c r="J8" s="3"/>
      <c r="K8" s="3" t="s">
        <v>588</v>
      </c>
      <c r="L8" s="3"/>
      <c r="M8" s="3"/>
      <c r="N8" s="47">
        <v>2105.1</v>
      </c>
      <c r="O8" s="47">
        <f>2085543.09/1000</f>
        <v>2085.54309</v>
      </c>
      <c r="P8" s="47">
        <v>2450</v>
      </c>
      <c r="Q8" s="48">
        <v>2461.4</v>
      </c>
      <c r="R8" s="48">
        <v>2473</v>
      </c>
    </row>
    <row r="9" spans="1:18" s="154" customFormat="1" ht="24" customHeight="1">
      <c r="A9" s="197"/>
      <c r="B9" s="231" t="s">
        <v>176</v>
      </c>
      <c r="C9" s="8"/>
      <c r="D9" s="41" t="s">
        <v>111</v>
      </c>
      <c r="E9" s="188" t="s">
        <v>775</v>
      </c>
      <c r="F9" s="188" t="s">
        <v>776</v>
      </c>
      <c r="G9" s="190" t="s">
        <v>777</v>
      </c>
      <c r="H9" s="188" t="s">
        <v>225</v>
      </c>
      <c r="I9" s="188" t="s">
        <v>223</v>
      </c>
      <c r="J9" s="188" t="s">
        <v>113</v>
      </c>
      <c r="K9" s="188" t="s">
        <v>63</v>
      </c>
      <c r="L9" s="188" t="s">
        <v>19</v>
      </c>
      <c r="M9" s="188" t="s">
        <v>20</v>
      </c>
      <c r="N9" s="49">
        <v>1676.4</v>
      </c>
      <c r="O9" s="49">
        <f>1676259.16/1000</f>
        <v>1676.2591599999998</v>
      </c>
      <c r="P9" s="142">
        <v>2642.8</v>
      </c>
      <c r="Q9" s="233">
        <v>49553.3</v>
      </c>
      <c r="R9" s="233">
        <v>50276.7</v>
      </c>
    </row>
    <row r="10" spans="1:18" s="154" customFormat="1" ht="24" customHeight="1">
      <c r="A10" s="198"/>
      <c r="B10" s="232"/>
      <c r="C10" s="8"/>
      <c r="D10" s="200" t="s">
        <v>177</v>
      </c>
      <c r="E10" s="202"/>
      <c r="F10" s="202"/>
      <c r="G10" s="191"/>
      <c r="H10" s="202"/>
      <c r="I10" s="202"/>
      <c r="J10" s="202"/>
      <c r="K10" s="202"/>
      <c r="L10" s="202"/>
      <c r="M10" s="202"/>
      <c r="N10" s="235">
        <v>39473.6</v>
      </c>
      <c r="O10" s="50"/>
      <c r="P10" s="235">
        <v>47647</v>
      </c>
      <c r="Q10" s="234"/>
      <c r="R10" s="234"/>
    </row>
    <row r="11" spans="1:18" s="154" customFormat="1" ht="74.25" customHeight="1">
      <c r="A11" s="198"/>
      <c r="B11" s="65"/>
      <c r="C11" s="236"/>
      <c r="D11" s="200"/>
      <c r="E11" s="18" t="s">
        <v>214</v>
      </c>
      <c r="F11" s="18" t="s">
        <v>800</v>
      </c>
      <c r="G11" s="18" t="s">
        <v>217</v>
      </c>
      <c r="H11" s="202" t="s">
        <v>241</v>
      </c>
      <c r="I11" s="202" t="s">
        <v>105</v>
      </c>
      <c r="J11" s="202" t="s">
        <v>174</v>
      </c>
      <c r="K11" s="202" t="s">
        <v>680</v>
      </c>
      <c r="L11" s="202" t="s">
        <v>213</v>
      </c>
      <c r="M11" s="202" t="s">
        <v>27</v>
      </c>
      <c r="N11" s="235"/>
      <c r="O11" s="50">
        <f>39257841.18/1000</f>
        <v>39257.84118</v>
      </c>
      <c r="P11" s="235"/>
      <c r="Q11" s="234"/>
      <c r="R11" s="234"/>
    </row>
    <row r="12" spans="1:18" s="154" customFormat="1" ht="103.5" customHeight="1">
      <c r="A12" s="230"/>
      <c r="B12" s="16"/>
      <c r="C12" s="237"/>
      <c r="D12" s="44" t="s">
        <v>278</v>
      </c>
      <c r="E12" s="19" t="s">
        <v>35</v>
      </c>
      <c r="F12" s="19" t="s">
        <v>216</v>
      </c>
      <c r="G12" s="19" t="s">
        <v>104</v>
      </c>
      <c r="H12" s="238"/>
      <c r="I12" s="189"/>
      <c r="J12" s="189"/>
      <c r="K12" s="189"/>
      <c r="L12" s="189"/>
      <c r="M12" s="189"/>
      <c r="N12" s="50">
        <v>0</v>
      </c>
      <c r="O12" s="50"/>
      <c r="P12" s="50">
        <v>470.4</v>
      </c>
      <c r="Q12" s="60">
        <v>0</v>
      </c>
      <c r="R12" s="60">
        <v>0</v>
      </c>
    </row>
    <row r="13" spans="1:18" s="154" customFormat="1" ht="72.75" customHeight="1">
      <c r="A13" s="35"/>
      <c r="B13" s="7" t="s">
        <v>2</v>
      </c>
      <c r="C13" s="8"/>
      <c r="D13" s="40" t="s">
        <v>278</v>
      </c>
      <c r="E13" s="3" t="s">
        <v>28</v>
      </c>
      <c r="F13" s="3" t="s">
        <v>5</v>
      </c>
      <c r="G13" s="6" t="s">
        <v>781</v>
      </c>
      <c r="H13" s="3" t="s">
        <v>476</v>
      </c>
      <c r="I13" s="3" t="s">
        <v>477</v>
      </c>
      <c r="J13" s="3" t="s">
        <v>478</v>
      </c>
      <c r="K13" s="3" t="s">
        <v>14</v>
      </c>
      <c r="L13" s="3" t="s">
        <v>178</v>
      </c>
      <c r="M13" s="3" t="s">
        <v>80</v>
      </c>
      <c r="N13" s="47">
        <v>138.857</v>
      </c>
      <c r="O13" s="47">
        <f>138857/1000</f>
        <v>138.857</v>
      </c>
      <c r="P13" s="47">
        <v>160.4</v>
      </c>
      <c r="Q13" s="48">
        <v>168.7</v>
      </c>
      <c r="R13" s="48">
        <v>177</v>
      </c>
    </row>
    <row r="14" spans="1:18" s="154" customFormat="1" ht="120.75" customHeight="1">
      <c r="A14" s="197"/>
      <c r="B14" s="21" t="s">
        <v>266</v>
      </c>
      <c r="C14" s="15"/>
      <c r="D14" s="199" t="s">
        <v>4</v>
      </c>
      <c r="E14" s="17" t="s">
        <v>58</v>
      </c>
      <c r="F14" s="17" t="s">
        <v>60</v>
      </c>
      <c r="G14" s="17" t="s">
        <v>782</v>
      </c>
      <c r="H14" s="17" t="s">
        <v>225</v>
      </c>
      <c r="I14" s="17" t="s">
        <v>190</v>
      </c>
      <c r="J14" s="17" t="s">
        <v>27</v>
      </c>
      <c r="K14" s="17" t="s">
        <v>1238</v>
      </c>
      <c r="L14" s="17" t="s">
        <v>185</v>
      </c>
      <c r="M14" s="17" t="s">
        <v>186</v>
      </c>
      <c r="N14" s="240">
        <v>13714.48139</v>
      </c>
      <c r="O14" s="186">
        <f>13714481.39/1000</f>
        <v>13714.48139</v>
      </c>
      <c r="P14" s="240">
        <v>15559.6</v>
      </c>
      <c r="Q14" s="242">
        <v>15587.5</v>
      </c>
      <c r="R14" s="242">
        <v>15603.8</v>
      </c>
    </row>
    <row r="15" spans="1:18" s="154" customFormat="1" ht="73.5" customHeight="1">
      <c r="A15" s="198"/>
      <c r="B15" s="65"/>
      <c r="C15" s="244"/>
      <c r="D15" s="200"/>
      <c r="E15" s="18" t="s">
        <v>214</v>
      </c>
      <c r="F15" s="18" t="s">
        <v>215</v>
      </c>
      <c r="G15" s="18" t="s">
        <v>217</v>
      </c>
      <c r="H15" s="202" t="s">
        <v>241</v>
      </c>
      <c r="I15" s="202" t="s">
        <v>105</v>
      </c>
      <c r="J15" s="202" t="s">
        <v>174</v>
      </c>
      <c r="K15" s="18" t="s">
        <v>593</v>
      </c>
      <c r="L15" s="18" t="s">
        <v>62</v>
      </c>
      <c r="M15" s="18" t="s">
        <v>592</v>
      </c>
      <c r="N15" s="241"/>
      <c r="O15" s="235"/>
      <c r="P15" s="241"/>
      <c r="Q15" s="243"/>
      <c r="R15" s="243"/>
    </row>
    <row r="16" spans="1:18" s="154" customFormat="1" ht="178.5" customHeight="1">
      <c r="A16" s="230"/>
      <c r="B16" s="16"/>
      <c r="C16" s="237"/>
      <c r="D16" s="239"/>
      <c r="E16" s="19" t="s">
        <v>35</v>
      </c>
      <c r="F16" s="19" t="s">
        <v>216</v>
      </c>
      <c r="G16" s="19" t="s">
        <v>104</v>
      </c>
      <c r="H16" s="189"/>
      <c r="I16" s="189"/>
      <c r="J16" s="189"/>
      <c r="K16" s="18" t="s">
        <v>511</v>
      </c>
      <c r="L16" s="18" t="s">
        <v>213</v>
      </c>
      <c r="M16" s="18" t="s">
        <v>27</v>
      </c>
      <c r="N16" s="129"/>
      <c r="O16" s="129"/>
      <c r="P16" s="129"/>
      <c r="Q16" s="130"/>
      <c r="R16" s="130"/>
    </row>
    <row r="17" spans="1:18" s="154" customFormat="1" ht="62.25" customHeight="1">
      <c r="A17" s="35"/>
      <c r="B17" s="8" t="s">
        <v>257</v>
      </c>
      <c r="C17" s="8"/>
      <c r="D17" s="40" t="s">
        <v>279</v>
      </c>
      <c r="E17" s="3" t="s">
        <v>28</v>
      </c>
      <c r="F17" s="3" t="s">
        <v>5</v>
      </c>
      <c r="G17" s="6" t="s">
        <v>780</v>
      </c>
      <c r="H17" s="3"/>
      <c r="I17" s="3"/>
      <c r="J17" s="3"/>
      <c r="K17" s="3" t="s">
        <v>657</v>
      </c>
      <c r="L17" s="3" t="s">
        <v>21</v>
      </c>
      <c r="M17" s="3" t="s">
        <v>589</v>
      </c>
      <c r="N17" s="47">
        <v>865.17485</v>
      </c>
      <c r="O17" s="47">
        <v>0</v>
      </c>
      <c r="P17" s="47">
        <v>9948.13042</v>
      </c>
      <c r="Q17" s="48">
        <v>28500</v>
      </c>
      <c r="R17" s="48">
        <v>30000</v>
      </c>
    </row>
    <row r="18" spans="1:18" s="153" customFormat="1" ht="26.25" customHeight="1">
      <c r="A18" s="34" t="s">
        <v>112</v>
      </c>
      <c r="B18" s="227" t="s">
        <v>778</v>
      </c>
      <c r="C18" s="228"/>
      <c r="D18" s="228"/>
      <c r="E18" s="228"/>
      <c r="F18" s="228"/>
      <c r="G18" s="228"/>
      <c r="H18" s="228"/>
      <c r="I18" s="228"/>
      <c r="J18" s="228"/>
      <c r="K18" s="228"/>
      <c r="L18" s="228"/>
      <c r="M18" s="229"/>
      <c r="N18" s="46">
        <f>SUM(N19:N21)</f>
        <v>6391.376389999999</v>
      </c>
      <c r="O18" s="46">
        <f>SUM(O19:O21)</f>
        <v>6391.37639</v>
      </c>
      <c r="P18" s="46">
        <f>SUM(P19:P21)</f>
        <v>6817.799999999999</v>
      </c>
      <c r="Q18" s="46">
        <f>SUM(Q19:Q21)</f>
        <v>6866</v>
      </c>
      <c r="R18" s="46">
        <f>SUM(R19:R21)</f>
        <v>6913.6</v>
      </c>
    </row>
    <row r="19" spans="1:18" s="154" customFormat="1" ht="60.75" customHeight="1">
      <c r="A19" s="211"/>
      <c r="B19" s="231" t="s">
        <v>102</v>
      </c>
      <c r="C19" s="11"/>
      <c r="D19" s="41" t="s">
        <v>278</v>
      </c>
      <c r="E19" s="17" t="s">
        <v>28</v>
      </c>
      <c r="F19" s="17" t="s">
        <v>779</v>
      </c>
      <c r="G19" s="17" t="s">
        <v>780</v>
      </c>
      <c r="H19" s="17"/>
      <c r="I19" s="17"/>
      <c r="J19" s="17"/>
      <c r="K19" s="17" t="s">
        <v>22</v>
      </c>
      <c r="L19" s="17" t="s">
        <v>178</v>
      </c>
      <c r="M19" s="17" t="s">
        <v>218</v>
      </c>
      <c r="N19" s="186">
        <f>2818.5+3572.87639</f>
        <v>6391.376389999999</v>
      </c>
      <c r="O19" s="186">
        <f>(2818500+3572876.39)/1000</f>
        <v>6391.37639</v>
      </c>
      <c r="P19" s="186">
        <f>3071.1+3746.7</f>
        <v>6817.799999999999</v>
      </c>
      <c r="Q19" s="233">
        <v>6866</v>
      </c>
      <c r="R19" s="233">
        <v>6913.6</v>
      </c>
    </row>
    <row r="20" spans="1:18" s="154" customFormat="1" ht="57" customHeight="1">
      <c r="A20" s="245"/>
      <c r="B20" s="232"/>
      <c r="C20" s="201"/>
      <c r="D20" s="200" t="s">
        <v>278</v>
      </c>
      <c r="E20" s="18" t="s">
        <v>214</v>
      </c>
      <c r="F20" s="18" t="s">
        <v>215</v>
      </c>
      <c r="G20" s="18" t="s">
        <v>217</v>
      </c>
      <c r="H20" s="202" t="s">
        <v>241</v>
      </c>
      <c r="I20" s="202" t="s">
        <v>105</v>
      </c>
      <c r="J20" s="202" t="s">
        <v>174</v>
      </c>
      <c r="K20" s="202" t="s">
        <v>511</v>
      </c>
      <c r="L20" s="202" t="s">
        <v>213</v>
      </c>
      <c r="M20" s="202" t="s">
        <v>27</v>
      </c>
      <c r="N20" s="235"/>
      <c r="O20" s="235"/>
      <c r="P20" s="235"/>
      <c r="Q20" s="234"/>
      <c r="R20" s="234"/>
    </row>
    <row r="21" spans="1:18" s="154" customFormat="1" ht="126" customHeight="1">
      <c r="A21" s="212"/>
      <c r="B21" s="246"/>
      <c r="C21" s="201"/>
      <c r="D21" s="239"/>
      <c r="E21" s="19" t="s">
        <v>35</v>
      </c>
      <c r="F21" s="19" t="s">
        <v>216</v>
      </c>
      <c r="G21" s="19" t="s">
        <v>104</v>
      </c>
      <c r="H21" s="189"/>
      <c r="I21" s="189"/>
      <c r="J21" s="189"/>
      <c r="K21" s="238"/>
      <c r="L21" s="238"/>
      <c r="M21" s="238"/>
      <c r="N21" s="187"/>
      <c r="O21" s="187"/>
      <c r="P21" s="187"/>
      <c r="Q21" s="247"/>
      <c r="R21" s="247"/>
    </row>
    <row r="22" spans="1:18" s="153" customFormat="1" ht="27" customHeight="1">
      <c r="A22" s="34" t="s">
        <v>247</v>
      </c>
      <c r="B22" s="227" t="s">
        <v>783</v>
      </c>
      <c r="C22" s="228"/>
      <c r="D22" s="228"/>
      <c r="E22" s="228"/>
      <c r="F22" s="228"/>
      <c r="G22" s="228"/>
      <c r="H22" s="228"/>
      <c r="I22" s="228"/>
      <c r="J22" s="228"/>
      <c r="K22" s="228"/>
      <c r="L22" s="228"/>
      <c r="M22" s="229"/>
      <c r="N22" s="47"/>
      <c r="O22" s="47"/>
      <c r="P22" s="53"/>
      <c r="Q22" s="66"/>
      <c r="R22" s="66"/>
    </row>
    <row r="23" spans="1:18" s="153" customFormat="1" ht="84" customHeight="1">
      <c r="A23" s="211" t="s">
        <v>87</v>
      </c>
      <c r="B23" s="248" t="s">
        <v>784</v>
      </c>
      <c r="C23" s="11"/>
      <c r="D23" s="195" t="s">
        <v>130</v>
      </c>
      <c r="E23" s="86" t="s">
        <v>154</v>
      </c>
      <c r="F23" s="86" t="s">
        <v>801</v>
      </c>
      <c r="G23" s="86" t="s">
        <v>446</v>
      </c>
      <c r="H23" s="86" t="s">
        <v>53</v>
      </c>
      <c r="I23" s="86" t="s">
        <v>802</v>
      </c>
      <c r="J23" s="86" t="s">
        <v>54</v>
      </c>
      <c r="K23" s="207" t="s">
        <v>47</v>
      </c>
      <c r="L23" s="207" t="s">
        <v>178</v>
      </c>
      <c r="M23" s="207" t="s">
        <v>113</v>
      </c>
      <c r="N23" s="253">
        <v>346.6</v>
      </c>
      <c r="O23" s="253">
        <f>330048/1000</f>
        <v>330.048</v>
      </c>
      <c r="P23" s="253">
        <v>2511.5</v>
      </c>
      <c r="Q23" s="253">
        <v>0</v>
      </c>
      <c r="R23" s="253">
        <v>2771.6</v>
      </c>
    </row>
    <row r="24" spans="1:18" s="153" customFormat="1" ht="96" customHeight="1">
      <c r="A24" s="245"/>
      <c r="B24" s="249"/>
      <c r="C24" s="11"/>
      <c r="D24" s="251"/>
      <c r="E24" s="106" t="s">
        <v>803</v>
      </c>
      <c r="F24" s="106" t="s">
        <v>804</v>
      </c>
      <c r="G24" s="106" t="s">
        <v>805</v>
      </c>
      <c r="H24" s="106" t="s">
        <v>806</v>
      </c>
      <c r="I24" s="106" t="s">
        <v>807</v>
      </c>
      <c r="J24" s="106" t="s">
        <v>808</v>
      </c>
      <c r="K24" s="252"/>
      <c r="L24" s="252"/>
      <c r="M24" s="252"/>
      <c r="N24" s="254"/>
      <c r="O24" s="254"/>
      <c r="P24" s="254"/>
      <c r="Q24" s="254"/>
      <c r="R24" s="254"/>
    </row>
    <row r="25" spans="1:18" s="153" customFormat="1" ht="59.25" customHeight="1">
      <c r="A25" s="245"/>
      <c r="B25" s="249"/>
      <c r="C25" s="11"/>
      <c r="D25" s="251"/>
      <c r="E25" s="106" t="s">
        <v>28</v>
      </c>
      <c r="F25" s="106" t="s">
        <v>809</v>
      </c>
      <c r="G25" s="106" t="s">
        <v>780</v>
      </c>
      <c r="H25" s="106" t="s">
        <v>810</v>
      </c>
      <c r="I25" s="106" t="s">
        <v>811</v>
      </c>
      <c r="J25" s="106" t="s">
        <v>812</v>
      </c>
      <c r="K25" s="252"/>
      <c r="L25" s="252"/>
      <c r="M25" s="252"/>
      <c r="N25" s="254"/>
      <c r="O25" s="254"/>
      <c r="P25" s="254"/>
      <c r="Q25" s="254"/>
      <c r="R25" s="254"/>
    </row>
    <row r="26" spans="1:18" s="153" customFormat="1" ht="72.75" customHeight="1">
      <c r="A26" s="212"/>
      <c r="B26" s="250"/>
      <c r="C26" s="11"/>
      <c r="D26" s="196"/>
      <c r="E26" s="107" t="s">
        <v>813</v>
      </c>
      <c r="F26" s="107" t="s">
        <v>814</v>
      </c>
      <c r="G26" s="107" t="s">
        <v>815</v>
      </c>
      <c r="H26" s="73"/>
      <c r="I26" s="73"/>
      <c r="J26" s="73"/>
      <c r="K26" s="208"/>
      <c r="L26" s="208"/>
      <c r="M26" s="208"/>
      <c r="N26" s="255"/>
      <c r="O26" s="255"/>
      <c r="P26" s="255"/>
      <c r="Q26" s="255"/>
      <c r="R26" s="255"/>
    </row>
    <row r="27" spans="1:18" s="153" customFormat="1" ht="15.75" customHeight="1">
      <c r="A27" s="34" t="s">
        <v>16</v>
      </c>
      <c r="B27" s="227" t="s">
        <v>785</v>
      </c>
      <c r="C27" s="228"/>
      <c r="D27" s="228"/>
      <c r="E27" s="228"/>
      <c r="F27" s="228"/>
      <c r="G27" s="228"/>
      <c r="H27" s="228"/>
      <c r="I27" s="228"/>
      <c r="J27" s="228"/>
      <c r="K27" s="228"/>
      <c r="L27" s="228"/>
      <c r="M27" s="229"/>
      <c r="N27" s="47"/>
      <c r="O27" s="47"/>
      <c r="P27" s="53"/>
      <c r="Q27" s="66"/>
      <c r="R27" s="66"/>
    </row>
    <row r="28" spans="1:18" s="155" customFormat="1" ht="97.5" customHeight="1">
      <c r="A28" s="34" t="s">
        <v>31</v>
      </c>
      <c r="B28" s="14" t="s">
        <v>1097</v>
      </c>
      <c r="C28" s="11"/>
      <c r="D28" s="43" t="s">
        <v>177</v>
      </c>
      <c r="E28" s="59" t="s">
        <v>28</v>
      </c>
      <c r="F28" s="59" t="s">
        <v>816</v>
      </c>
      <c r="G28" s="59" t="s">
        <v>780</v>
      </c>
      <c r="H28" s="59"/>
      <c r="I28" s="59"/>
      <c r="J28" s="59"/>
      <c r="K28" s="59" t="s">
        <v>64</v>
      </c>
      <c r="L28" s="59" t="s">
        <v>145</v>
      </c>
      <c r="M28" s="108" t="s">
        <v>27</v>
      </c>
      <c r="N28" s="46">
        <v>711</v>
      </c>
      <c r="O28" s="46">
        <f>621846/1000</f>
        <v>621.846</v>
      </c>
      <c r="P28" s="46">
        <v>826.2</v>
      </c>
      <c r="Q28" s="67">
        <v>869.2</v>
      </c>
      <c r="R28" s="67">
        <v>911.8</v>
      </c>
    </row>
    <row r="29" spans="1:18" s="153" customFormat="1" ht="16.5" customHeight="1">
      <c r="A29" s="34" t="s">
        <v>36</v>
      </c>
      <c r="B29" s="227" t="s">
        <v>23</v>
      </c>
      <c r="C29" s="228"/>
      <c r="D29" s="228"/>
      <c r="E29" s="228"/>
      <c r="F29" s="228"/>
      <c r="G29" s="228"/>
      <c r="H29" s="228"/>
      <c r="I29" s="228"/>
      <c r="J29" s="228"/>
      <c r="K29" s="228"/>
      <c r="L29" s="228"/>
      <c r="M29" s="229"/>
      <c r="N29" s="46">
        <f>SUM(N30:N34)</f>
        <v>16924.9</v>
      </c>
      <c r="O29" s="46">
        <f>SUM(O30:O34)</f>
        <v>16866.99347</v>
      </c>
      <c r="P29" s="46">
        <f>SUM(P30:P34)</f>
        <v>21375.258</v>
      </c>
      <c r="Q29" s="46">
        <f>SUM(Q30:Q34)</f>
        <v>21606.399999999998</v>
      </c>
      <c r="R29" s="46">
        <f>SUM(R30:R34)</f>
        <v>21805.500000000004</v>
      </c>
    </row>
    <row r="30" spans="1:18" s="154" customFormat="1" ht="63" customHeight="1">
      <c r="A30" s="197"/>
      <c r="B30" s="231" t="s">
        <v>255</v>
      </c>
      <c r="C30" s="8"/>
      <c r="D30" s="199" t="s">
        <v>256</v>
      </c>
      <c r="E30" s="17" t="s">
        <v>28</v>
      </c>
      <c r="F30" s="17" t="s">
        <v>817</v>
      </c>
      <c r="G30" s="17" t="s">
        <v>780</v>
      </c>
      <c r="H30" s="17" t="s">
        <v>225</v>
      </c>
      <c r="I30" s="17" t="s">
        <v>190</v>
      </c>
      <c r="J30" s="17" t="s">
        <v>27</v>
      </c>
      <c r="K30" s="17" t="s">
        <v>79</v>
      </c>
      <c r="L30" s="17" t="s">
        <v>106</v>
      </c>
      <c r="M30" s="17" t="s">
        <v>27</v>
      </c>
      <c r="N30" s="186">
        <v>14465.9</v>
      </c>
      <c r="O30" s="186">
        <f>14415714.8/1000</f>
        <v>14415.714800000002</v>
      </c>
      <c r="P30" s="186">
        <v>16934.2</v>
      </c>
      <c r="Q30" s="233">
        <v>17029.6</v>
      </c>
      <c r="R30" s="233">
        <v>17136.4</v>
      </c>
    </row>
    <row r="31" spans="1:18" s="154" customFormat="1" ht="74.25" customHeight="1">
      <c r="A31" s="198"/>
      <c r="B31" s="232"/>
      <c r="C31" s="201"/>
      <c r="D31" s="200"/>
      <c r="E31" s="18" t="s">
        <v>214</v>
      </c>
      <c r="F31" s="18" t="s">
        <v>800</v>
      </c>
      <c r="G31" s="18" t="s">
        <v>217</v>
      </c>
      <c r="H31" s="202" t="s">
        <v>241</v>
      </c>
      <c r="I31" s="202" t="s">
        <v>105</v>
      </c>
      <c r="J31" s="202" t="s">
        <v>174</v>
      </c>
      <c r="K31" s="202" t="s">
        <v>511</v>
      </c>
      <c r="L31" s="202" t="s">
        <v>213</v>
      </c>
      <c r="M31" s="202" t="s">
        <v>27</v>
      </c>
      <c r="N31" s="235"/>
      <c r="O31" s="235"/>
      <c r="P31" s="235"/>
      <c r="Q31" s="234"/>
      <c r="R31" s="234"/>
    </row>
    <row r="32" spans="1:18" s="154" customFormat="1" ht="104.25" customHeight="1">
      <c r="A32" s="230"/>
      <c r="B32" s="246"/>
      <c r="C32" s="201"/>
      <c r="D32" s="239"/>
      <c r="E32" s="19" t="s">
        <v>35</v>
      </c>
      <c r="F32" s="19" t="s">
        <v>216</v>
      </c>
      <c r="G32" s="19" t="s">
        <v>104</v>
      </c>
      <c r="H32" s="189"/>
      <c r="I32" s="189"/>
      <c r="J32" s="189"/>
      <c r="K32" s="189"/>
      <c r="L32" s="189"/>
      <c r="M32" s="189"/>
      <c r="N32" s="187"/>
      <c r="O32" s="187"/>
      <c r="P32" s="187"/>
      <c r="Q32" s="247"/>
      <c r="R32" s="247"/>
    </row>
    <row r="33" spans="1:18" s="154" customFormat="1" ht="60.75" customHeight="1">
      <c r="A33" s="35"/>
      <c r="B33" s="7" t="s">
        <v>126</v>
      </c>
      <c r="C33" s="8"/>
      <c r="D33" s="40" t="s">
        <v>278</v>
      </c>
      <c r="E33" s="3" t="s">
        <v>28</v>
      </c>
      <c r="F33" s="3" t="s">
        <v>817</v>
      </c>
      <c r="G33" s="3" t="s">
        <v>780</v>
      </c>
      <c r="H33" s="3"/>
      <c r="I33" s="3"/>
      <c r="J33" s="3"/>
      <c r="K33" s="3" t="s">
        <v>127</v>
      </c>
      <c r="L33" s="3" t="s">
        <v>7</v>
      </c>
      <c r="M33" s="3" t="s">
        <v>27</v>
      </c>
      <c r="N33" s="47">
        <v>981.5</v>
      </c>
      <c r="O33" s="47">
        <f>973778.67/1000</f>
        <v>973.77867</v>
      </c>
      <c r="P33" s="47">
        <v>1063</v>
      </c>
      <c r="Q33" s="48">
        <v>1118.3</v>
      </c>
      <c r="R33" s="48">
        <v>1173.2</v>
      </c>
    </row>
    <row r="34" spans="1:18" s="154" customFormat="1" ht="63" customHeight="1">
      <c r="A34" s="35"/>
      <c r="B34" s="28" t="s">
        <v>597</v>
      </c>
      <c r="C34" s="8"/>
      <c r="D34" s="40" t="s">
        <v>256</v>
      </c>
      <c r="E34" s="17" t="s">
        <v>28</v>
      </c>
      <c r="F34" s="17" t="s">
        <v>818</v>
      </c>
      <c r="G34" s="17" t="s">
        <v>780</v>
      </c>
      <c r="H34" s="17" t="s">
        <v>225</v>
      </c>
      <c r="I34" s="17" t="s">
        <v>190</v>
      </c>
      <c r="J34" s="17" t="s">
        <v>27</v>
      </c>
      <c r="K34" s="26" t="s">
        <v>598</v>
      </c>
      <c r="L34" s="26" t="s">
        <v>599</v>
      </c>
      <c r="M34" s="26" t="s">
        <v>600</v>
      </c>
      <c r="N34" s="47">
        <v>1477.5</v>
      </c>
      <c r="O34" s="47">
        <f>1477500/1000</f>
        <v>1477.5</v>
      </c>
      <c r="P34" s="47">
        <v>3378.058</v>
      </c>
      <c r="Q34" s="48">
        <v>3458.5</v>
      </c>
      <c r="R34" s="48">
        <v>3495.9</v>
      </c>
    </row>
    <row r="35" spans="1:18" s="153" customFormat="1" ht="15.75" customHeight="1">
      <c r="A35" s="34" t="s">
        <v>187</v>
      </c>
      <c r="B35" s="227" t="s">
        <v>193</v>
      </c>
      <c r="C35" s="228"/>
      <c r="D35" s="228"/>
      <c r="E35" s="228"/>
      <c r="F35" s="228"/>
      <c r="G35" s="228"/>
      <c r="H35" s="228"/>
      <c r="I35" s="228"/>
      <c r="J35" s="228"/>
      <c r="K35" s="228"/>
      <c r="L35" s="228"/>
      <c r="M35" s="229"/>
      <c r="N35" s="47"/>
      <c r="O35" s="47"/>
      <c r="P35" s="53"/>
      <c r="Q35" s="66"/>
      <c r="R35" s="66"/>
    </row>
    <row r="36" spans="1:18" s="155" customFormat="1" ht="14.25" customHeight="1">
      <c r="A36" s="34" t="s">
        <v>8</v>
      </c>
      <c r="B36" s="227" t="s">
        <v>9</v>
      </c>
      <c r="C36" s="228"/>
      <c r="D36" s="228"/>
      <c r="E36" s="228"/>
      <c r="F36" s="228"/>
      <c r="G36" s="228"/>
      <c r="H36" s="228"/>
      <c r="I36" s="228"/>
      <c r="J36" s="228"/>
      <c r="K36" s="228"/>
      <c r="L36" s="228"/>
      <c r="M36" s="229"/>
      <c r="N36" s="46">
        <f>SUM(N37:N40)</f>
        <v>5397.27908</v>
      </c>
      <c r="O36" s="46">
        <f>SUM(O37:O40)</f>
        <v>5397.27908</v>
      </c>
      <c r="P36" s="46">
        <f>SUM(P37:P40)</f>
        <v>3485.9655</v>
      </c>
      <c r="Q36" s="46">
        <f>SUM(Q37:Q40)</f>
        <v>3667.2</v>
      </c>
      <c r="R36" s="46">
        <f>SUM(R37:R40)</f>
        <v>3846.9</v>
      </c>
    </row>
    <row r="37" spans="1:18" s="155" customFormat="1" ht="63" customHeight="1">
      <c r="A37" s="197"/>
      <c r="B37" s="231" t="s">
        <v>137</v>
      </c>
      <c r="C37" s="8"/>
      <c r="D37" s="199" t="s">
        <v>278</v>
      </c>
      <c r="E37" s="17" t="s">
        <v>28</v>
      </c>
      <c r="F37" s="17" t="s">
        <v>819</v>
      </c>
      <c r="G37" s="17" t="s">
        <v>780</v>
      </c>
      <c r="H37" s="17"/>
      <c r="I37" s="17"/>
      <c r="J37" s="17"/>
      <c r="K37" s="188" t="s">
        <v>681</v>
      </c>
      <c r="L37" s="188" t="s">
        <v>366</v>
      </c>
      <c r="M37" s="188" t="s">
        <v>309</v>
      </c>
      <c r="N37" s="186">
        <v>5397.27908</v>
      </c>
      <c r="O37" s="186">
        <f>5397279.08/1000</f>
        <v>5397.27908</v>
      </c>
      <c r="P37" s="186">
        <v>3485.9655</v>
      </c>
      <c r="Q37" s="233">
        <v>3667.2</v>
      </c>
      <c r="R37" s="233">
        <v>3846.9</v>
      </c>
    </row>
    <row r="38" spans="1:18" s="155" customFormat="1" ht="59.25" customHeight="1">
      <c r="A38" s="198"/>
      <c r="B38" s="232"/>
      <c r="C38" s="8"/>
      <c r="D38" s="200"/>
      <c r="E38" s="18" t="s">
        <v>823</v>
      </c>
      <c r="F38" s="18" t="s">
        <v>824</v>
      </c>
      <c r="G38" s="18" t="s">
        <v>825</v>
      </c>
      <c r="H38" s="18"/>
      <c r="I38" s="18"/>
      <c r="J38" s="18"/>
      <c r="K38" s="202"/>
      <c r="L38" s="202"/>
      <c r="M38" s="202"/>
      <c r="N38" s="235"/>
      <c r="O38" s="235"/>
      <c r="P38" s="235"/>
      <c r="Q38" s="234"/>
      <c r="R38" s="234"/>
    </row>
    <row r="39" spans="1:18" s="154" customFormat="1" ht="61.5" customHeight="1">
      <c r="A39" s="230"/>
      <c r="B39" s="246"/>
      <c r="C39" s="8"/>
      <c r="D39" s="239"/>
      <c r="E39" s="19" t="s">
        <v>820</v>
      </c>
      <c r="F39" s="19" t="s">
        <v>821</v>
      </c>
      <c r="G39" s="19" t="s">
        <v>822</v>
      </c>
      <c r="H39" s="19"/>
      <c r="I39" s="19"/>
      <c r="J39" s="19"/>
      <c r="K39" s="189"/>
      <c r="L39" s="189"/>
      <c r="M39" s="189"/>
      <c r="N39" s="187"/>
      <c r="O39" s="187"/>
      <c r="P39" s="187"/>
      <c r="Q39" s="247"/>
      <c r="R39" s="247"/>
    </row>
    <row r="40" spans="1:18" s="155" customFormat="1" ht="132" customHeight="1">
      <c r="A40" s="34"/>
      <c r="B40" s="7" t="s">
        <v>141</v>
      </c>
      <c r="C40" s="11"/>
      <c r="D40" s="40" t="s">
        <v>278</v>
      </c>
      <c r="E40" s="3" t="s">
        <v>382</v>
      </c>
      <c r="F40" s="3" t="s">
        <v>383</v>
      </c>
      <c r="G40" s="3" t="s">
        <v>27</v>
      </c>
      <c r="H40" s="3"/>
      <c r="I40" s="3"/>
      <c r="J40" s="3"/>
      <c r="K40" s="3" t="s">
        <v>290</v>
      </c>
      <c r="L40" s="3" t="s">
        <v>222</v>
      </c>
      <c r="M40" s="3" t="s">
        <v>230</v>
      </c>
      <c r="N40" s="47">
        <v>0</v>
      </c>
      <c r="O40" s="47">
        <v>0</v>
      </c>
      <c r="P40" s="47">
        <v>0</v>
      </c>
      <c r="Q40" s="48">
        <v>0</v>
      </c>
      <c r="R40" s="48">
        <v>0</v>
      </c>
    </row>
    <row r="41" spans="1:18" s="153" customFormat="1" ht="12.75" customHeight="1">
      <c r="A41" s="34" t="s">
        <v>253</v>
      </c>
      <c r="B41" s="227" t="s">
        <v>254</v>
      </c>
      <c r="C41" s="228"/>
      <c r="D41" s="228"/>
      <c r="E41" s="228"/>
      <c r="F41" s="228"/>
      <c r="G41" s="228"/>
      <c r="H41" s="228"/>
      <c r="I41" s="228"/>
      <c r="J41" s="228"/>
      <c r="K41" s="228"/>
      <c r="L41" s="228"/>
      <c r="M41" s="229"/>
      <c r="N41" s="46">
        <f>SUM(N42:N43)</f>
        <v>310</v>
      </c>
      <c r="O41" s="46">
        <f>SUM(O42:O43)</f>
        <v>221.03270999999998</v>
      </c>
      <c r="P41" s="46">
        <f>SUM(P42:P43)</f>
        <v>265</v>
      </c>
      <c r="Q41" s="46">
        <f>SUM(Q42:Q43)</f>
        <v>0</v>
      </c>
      <c r="R41" s="46">
        <f>SUM(R42:R43)</f>
        <v>0</v>
      </c>
    </row>
    <row r="42" spans="1:18" s="154" customFormat="1" ht="61.5" customHeight="1">
      <c r="A42" s="36"/>
      <c r="B42" s="231" t="s">
        <v>287</v>
      </c>
      <c r="C42" s="8"/>
      <c r="D42" s="199" t="s">
        <v>12</v>
      </c>
      <c r="E42" s="188" t="s">
        <v>28</v>
      </c>
      <c r="F42" s="188" t="s">
        <v>826</v>
      </c>
      <c r="G42" s="188" t="s">
        <v>780</v>
      </c>
      <c r="H42" s="188" t="s">
        <v>384</v>
      </c>
      <c r="I42" s="188" t="s">
        <v>385</v>
      </c>
      <c r="J42" s="188" t="s">
        <v>386</v>
      </c>
      <c r="K42" s="17" t="s">
        <v>682</v>
      </c>
      <c r="L42" s="17" t="s">
        <v>512</v>
      </c>
      <c r="M42" s="17" t="s">
        <v>454</v>
      </c>
      <c r="N42" s="256">
        <v>310</v>
      </c>
      <c r="O42" s="256">
        <f>(205256.91+15775.8)/1000</f>
        <v>221.03270999999998</v>
      </c>
      <c r="P42" s="256">
        <v>265</v>
      </c>
      <c r="Q42" s="256">
        <v>0</v>
      </c>
      <c r="R42" s="256">
        <v>0</v>
      </c>
    </row>
    <row r="43" spans="1:18" s="154" customFormat="1" ht="85.5" customHeight="1">
      <c r="A43" s="38"/>
      <c r="B43" s="246"/>
      <c r="C43" s="8"/>
      <c r="D43" s="239"/>
      <c r="E43" s="189"/>
      <c r="F43" s="189"/>
      <c r="G43" s="189"/>
      <c r="H43" s="189"/>
      <c r="I43" s="189"/>
      <c r="J43" s="189"/>
      <c r="K43" s="19" t="s">
        <v>1199</v>
      </c>
      <c r="L43" s="19" t="s">
        <v>222</v>
      </c>
      <c r="M43" s="19" t="s">
        <v>513</v>
      </c>
      <c r="N43" s="257"/>
      <c r="O43" s="257"/>
      <c r="P43" s="257"/>
      <c r="Q43" s="257"/>
      <c r="R43" s="257"/>
    </row>
    <row r="44" spans="1:18" s="153" customFormat="1" ht="38.25" customHeight="1">
      <c r="A44" s="34" t="s">
        <v>118</v>
      </c>
      <c r="B44" s="227" t="s">
        <v>1098</v>
      </c>
      <c r="C44" s="228"/>
      <c r="D44" s="228"/>
      <c r="E44" s="228"/>
      <c r="F44" s="228"/>
      <c r="G44" s="228"/>
      <c r="H44" s="228"/>
      <c r="I44" s="228"/>
      <c r="J44" s="228"/>
      <c r="K44" s="228"/>
      <c r="L44" s="228"/>
      <c r="M44" s="229"/>
      <c r="N44" s="46">
        <f>SUM(N45:N47)</f>
        <v>4242.444799999999</v>
      </c>
      <c r="O44" s="46">
        <f>SUM(O45:O47)</f>
        <v>3169.872</v>
      </c>
      <c r="P44" s="46">
        <f>SUM(P45:P47)</f>
        <v>2892.2</v>
      </c>
      <c r="Q44" s="46">
        <f>SUM(Q45:Q47)</f>
        <v>3042.6</v>
      </c>
      <c r="R44" s="46">
        <f>SUM(R45:R47)</f>
        <v>3191.7</v>
      </c>
    </row>
    <row r="45" spans="1:18" s="154" customFormat="1" ht="71.25" customHeight="1">
      <c r="A45" s="258"/>
      <c r="B45" s="231" t="s">
        <v>310</v>
      </c>
      <c r="C45" s="8"/>
      <c r="D45" s="199" t="s">
        <v>224</v>
      </c>
      <c r="E45" s="188" t="s">
        <v>28</v>
      </c>
      <c r="F45" s="188" t="s">
        <v>82</v>
      </c>
      <c r="G45" s="188" t="s">
        <v>780</v>
      </c>
      <c r="H45" s="188" t="s">
        <v>384</v>
      </c>
      <c r="I45" s="188" t="s">
        <v>385</v>
      </c>
      <c r="J45" s="188" t="s">
        <v>386</v>
      </c>
      <c r="K45" s="17" t="s">
        <v>374</v>
      </c>
      <c r="L45" s="17" t="s">
        <v>375</v>
      </c>
      <c r="M45" s="17" t="s">
        <v>376</v>
      </c>
      <c r="N45" s="49">
        <v>2731</v>
      </c>
      <c r="O45" s="49">
        <f>2724487.2/1000</f>
        <v>2724.4872</v>
      </c>
      <c r="P45" s="49">
        <v>2892.2</v>
      </c>
      <c r="Q45" s="52">
        <v>3042.6</v>
      </c>
      <c r="R45" s="52">
        <v>3191.7</v>
      </c>
    </row>
    <row r="46" spans="1:18" s="154" customFormat="1" ht="99.75" customHeight="1">
      <c r="A46" s="259"/>
      <c r="B46" s="232"/>
      <c r="C46" s="8"/>
      <c r="D46" s="200"/>
      <c r="E46" s="202"/>
      <c r="F46" s="202"/>
      <c r="G46" s="202"/>
      <c r="H46" s="202"/>
      <c r="I46" s="202"/>
      <c r="J46" s="202"/>
      <c r="K46" s="18" t="s">
        <v>523</v>
      </c>
      <c r="L46" s="18" t="s">
        <v>222</v>
      </c>
      <c r="M46" s="18" t="s">
        <v>525</v>
      </c>
      <c r="N46" s="50">
        <v>445.3848</v>
      </c>
      <c r="O46" s="50">
        <f>445384.8/1000</f>
        <v>445.3848</v>
      </c>
      <c r="P46" s="50">
        <v>0</v>
      </c>
      <c r="Q46" s="60">
        <v>0</v>
      </c>
      <c r="R46" s="60">
        <v>0</v>
      </c>
    </row>
    <row r="47" spans="1:18" s="154" customFormat="1" ht="84" customHeight="1">
      <c r="A47" s="260"/>
      <c r="B47" s="246"/>
      <c r="C47" s="8"/>
      <c r="D47" s="239"/>
      <c r="E47" s="189"/>
      <c r="F47" s="189"/>
      <c r="G47" s="189"/>
      <c r="H47" s="189"/>
      <c r="I47" s="189"/>
      <c r="J47" s="189"/>
      <c r="K47" s="32" t="s">
        <v>685</v>
      </c>
      <c r="L47" s="32" t="s">
        <v>173</v>
      </c>
      <c r="M47" s="32" t="s">
        <v>525</v>
      </c>
      <c r="N47" s="54">
        <f>1066.06</f>
        <v>1066.06</v>
      </c>
      <c r="O47" s="54">
        <v>0</v>
      </c>
      <c r="P47" s="54">
        <v>0</v>
      </c>
      <c r="Q47" s="55">
        <v>0</v>
      </c>
      <c r="R47" s="55">
        <v>0</v>
      </c>
    </row>
    <row r="48" spans="1:18" s="153" customFormat="1" ht="14.25" customHeight="1">
      <c r="A48" s="34" t="s">
        <v>221</v>
      </c>
      <c r="B48" s="227" t="s">
        <v>144</v>
      </c>
      <c r="C48" s="228"/>
      <c r="D48" s="228"/>
      <c r="E48" s="228"/>
      <c r="F48" s="228"/>
      <c r="G48" s="228"/>
      <c r="H48" s="228"/>
      <c r="I48" s="228"/>
      <c r="J48" s="228"/>
      <c r="K48" s="228"/>
      <c r="L48" s="228"/>
      <c r="M48" s="229"/>
      <c r="N48" s="46">
        <f>SUM(N49:N53)</f>
        <v>2265.72206</v>
      </c>
      <c r="O48" s="46">
        <f>SUM(O49:O53)</f>
        <v>2258.66713</v>
      </c>
      <c r="P48" s="46">
        <f>SUM(P49:P53)</f>
        <v>1907.8</v>
      </c>
      <c r="Q48" s="46">
        <f>SUM(Q49:Q53)</f>
        <v>2007</v>
      </c>
      <c r="R48" s="46">
        <f>SUM(R49:R53)</f>
        <v>2105.3</v>
      </c>
    </row>
    <row r="49" spans="1:18" s="154" customFormat="1" ht="47.25" customHeight="1">
      <c r="A49" s="197"/>
      <c r="B49" s="231" t="s">
        <v>377</v>
      </c>
      <c r="C49" s="8"/>
      <c r="D49" s="199" t="s">
        <v>132</v>
      </c>
      <c r="E49" s="188" t="s">
        <v>28</v>
      </c>
      <c r="F49" s="188" t="s">
        <v>827</v>
      </c>
      <c r="G49" s="188" t="s">
        <v>780</v>
      </c>
      <c r="H49" s="188"/>
      <c r="I49" s="188"/>
      <c r="J49" s="188"/>
      <c r="K49" s="24" t="s">
        <v>1280</v>
      </c>
      <c r="L49" s="24" t="s">
        <v>1141</v>
      </c>
      <c r="M49" s="24" t="s">
        <v>1271</v>
      </c>
      <c r="N49" s="186">
        <v>1376.27489</v>
      </c>
      <c r="O49" s="186">
        <f>1376274.89/1000</f>
        <v>1376.27489</v>
      </c>
      <c r="P49" s="186">
        <v>965.8</v>
      </c>
      <c r="Q49" s="233">
        <v>1016</v>
      </c>
      <c r="R49" s="233">
        <v>1065.8</v>
      </c>
    </row>
    <row r="50" spans="1:18" s="154" customFormat="1" ht="72.75" customHeight="1">
      <c r="A50" s="198"/>
      <c r="B50" s="232"/>
      <c r="C50" s="8"/>
      <c r="D50" s="200"/>
      <c r="E50" s="189"/>
      <c r="F50" s="189"/>
      <c r="G50" s="189"/>
      <c r="H50" s="189"/>
      <c r="I50" s="189"/>
      <c r="J50" s="189"/>
      <c r="K50" s="81" t="s">
        <v>687</v>
      </c>
      <c r="L50" s="81" t="s">
        <v>222</v>
      </c>
      <c r="M50" s="81" t="s">
        <v>686</v>
      </c>
      <c r="N50" s="235"/>
      <c r="O50" s="235"/>
      <c r="P50" s="235"/>
      <c r="Q50" s="234"/>
      <c r="R50" s="234"/>
    </row>
    <row r="51" spans="1:18" s="154" customFormat="1" ht="41.25" customHeight="1">
      <c r="A51" s="197"/>
      <c r="B51" s="209" t="s">
        <v>1140</v>
      </c>
      <c r="C51" s="8"/>
      <c r="D51" s="199" t="s">
        <v>132</v>
      </c>
      <c r="E51" s="188" t="s">
        <v>28</v>
      </c>
      <c r="F51" s="188" t="s">
        <v>827</v>
      </c>
      <c r="G51" s="188" t="s">
        <v>780</v>
      </c>
      <c r="H51" s="188"/>
      <c r="I51" s="188"/>
      <c r="J51" s="188"/>
      <c r="K51" s="24" t="s">
        <v>1200</v>
      </c>
      <c r="L51" s="24" t="s">
        <v>1141</v>
      </c>
      <c r="M51" s="24" t="s">
        <v>1142</v>
      </c>
      <c r="N51" s="186">
        <f>10988.25/1000</f>
        <v>10.98825</v>
      </c>
      <c r="O51" s="186">
        <f>3933.32/1000</f>
        <v>3.93332</v>
      </c>
      <c r="P51" s="186">
        <v>11.7</v>
      </c>
      <c r="Q51" s="233">
        <v>12.3</v>
      </c>
      <c r="R51" s="233">
        <v>12.9</v>
      </c>
    </row>
    <row r="52" spans="1:18" s="154" customFormat="1" ht="84.75" customHeight="1">
      <c r="A52" s="230"/>
      <c r="B52" s="210"/>
      <c r="C52" s="8"/>
      <c r="D52" s="239"/>
      <c r="E52" s="189"/>
      <c r="F52" s="189"/>
      <c r="G52" s="189"/>
      <c r="H52" s="189"/>
      <c r="I52" s="189"/>
      <c r="J52" s="189"/>
      <c r="K52" s="25" t="s">
        <v>1201</v>
      </c>
      <c r="L52" s="25" t="s">
        <v>1141</v>
      </c>
      <c r="M52" s="25" t="s">
        <v>1202</v>
      </c>
      <c r="N52" s="187"/>
      <c r="O52" s="187"/>
      <c r="P52" s="187"/>
      <c r="Q52" s="247"/>
      <c r="R52" s="247"/>
    </row>
    <row r="53" spans="1:18" s="154" customFormat="1" ht="84.75" customHeight="1">
      <c r="A53" s="37"/>
      <c r="B53" s="20" t="s">
        <v>277</v>
      </c>
      <c r="C53" s="8"/>
      <c r="D53" s="77" t="s">
        <v>270</v>
      </c>
      <c r="E53" s="17" t="s">
        <v>28</v>
      </c>
      <c r="F53" s="17" t="s">
        <v>827</v>
      </c>
      <c r="G53" s="17" t="s">
        <v>780</v>
      </c>
      <c r="H53" s="17"/>
      <c r="I53" s="17"/>
      <c r="J53" s="17"/>
      <c r="K53" s="17" t="s">
        <v>601</v>
      </c>
      <c r="L53" s="17" t="s">
        <v>323</v>
      </c>
      <c r="M53" s="17" t="s">
        <v>324</v>
      </c>
      <c r="N53" s="142">
        <f>878458.92/1000</f>
        <v>878.45892</v>
      </c>
      <c r="O53" s="142">
        <f>878458.92/1000</f>
        <v>878.45892</v>
      </c>
      <c r="P53" s="142">
        <v>930.3</v>
      </c>
      <c r="Q53" s="143">
        <v>978.7</v>
      </c>
      <c r="R53" s="143">
        <v>1026.6</v>
      </c>
    </row>
    <row r="54" spans="1:18" s="153" customFormat="1" ht="12" customHeight="1">
      <c r="A54" s="34" t="s">
        <v>124</v>
      </c>
      <c r="B54" s="227" t="s">
        <v>125</v>
      </c>
      <c r="C54" s="228"/>
      <c r="D54" s="228"/>
      <c r="E54" s="228"/>
      <c r="F54" s="228"/>
      <c r="G54" s="228"/>
      <c r="H54" s="228"/>
      <c r="I54" s="228"/>
      <c r="J54" s="228"/>
      <c r="K54" s="228"/>
      <c r="L54" s="228"/>
      <c r="M54" s="229"/>
      <c r="N54" s="53"/>
      <c r="O54" s="53"/>
      <c r="P54" s="53"/>
      <c r="Q54" s="66"/>
      <c r="R54" s="66"/>
    </row>
    <row r="55" spans="1:18" s="155" customFormat="1" ht="12" customHeight="1">
      <c r="A55" s="34" t="s">
        <v>211</v>
      </c>
      <c r="B55" s="227" t="s">
        <v>165</v>
      </c>
      <c r="C55" s="228"/>
      <c r="D55" s="228"/>
      <c r="E55" s="228"/>
      <c r="F55" s="228"/>
      <c r="G55" s="228"/>
      <c r="H55" s="228"/>
      <c r="I55" s="228"/>
      <c r="J55" s="228"/>
      <c r="K55" s="228"/>
      <c r="L55" s="228"/>
      <c r="M55" s="229"/>
      <c r="N55" s="46">
        <f>SUM(N56:N66)</f>
        <v>8043.25764</v>
      </c>
      <c r="O55" s="46">
        <f>SUM(O56:O66)</f>
        <v>4993.489839999999</v>
      </c>
      <c r="P55" s="46">
        <f>SUM(P56:P66)</f>
        <v>5588.099999999999</v>
      </c>
      <c r="Q55" s="46">
        <f>SUM(Q56:Q64)</f>
        <v>9511</v>
      </c>
      <c r="R55" s="46">
        <f>SUM(R56:R64)</f>
        <v>2168.6</v>
      </c>
    </row>
    <row r="56" spans="1:18" s="154" customFormat="1" ht="60" customHeight="1">
      <c r="A56" s="197"/>
      <c r="B56" s="231" t="s">
        <v>235</v>
      </c>
      <c r="C56" s="8"/>
      <c r="D56" s="199" t="s">
        <v>135</v>
      </c>
      <c r="E56" s="207" t="s">
        <v>828</v>
      </c>
      <c r="F56" s="207" t="s">
        <v>829</v>
      </c>
      <c r="G56" s="207" t="s">
        <v>830</v>
      </c>
      <c r="H56" s="188" t="s">
        <v>391</v>
      </c>
      <c r="I56" s="188" t="s">
        <v>392</v>
      </c>
      <c r="J56" s="188" t="s">
        <v>393</v>
      </c>
      <c r="K56" s="17" t="s">
        <v>320</v>
      </c>
      <c r="L56" s="17" t="s">
        <v>321</v>
      </c>
      <c r="M56" s="17" t="s">
        <v>322</v>
      </c>
      <c r="N56" s="186">
        <f>(5402.73+116600)/1000</f>
        <v>122.00273</v>
      </c>
      <c r="O56" s="186">
        <f>(5400.73+66834.2)/1000</f>
        <v>72.23492999999999</v>
      </c>
      <c r="P56" s="186">
        <v>123.8</v>
      </c>
      <c r="Q56" s="233">
        <v>130.2</v>
      </c>
      <c r="R56" s="233">
        <v>136.6</v>
      </c>
    </row>
    <row r="57" spans="1:18" s="154" customFormat="1" ht="72.75" customHeight="1">
      <c r="A57" s="230"/>
      <c r="B57" s="246"/>
      <c r="C57" s="8"/>
      <c r="D57" s="239"/>
      <c r="E57" s="208"/>
      <c r="F57" s="208"/>
      <c r="G57" s="208"/>
      <c r="H57" s="189"/>
      <c r="I57" s="189"/>
      <c r="J57" s="189"/>
      <c r="K57" s="25" t="s">
        <v>743</v>
      </c>
      <c r="L57" s="19" t="s">
        <v>222</v>
      </c>
      <c r="M57" s="19" t="s">
        <v>734</v>
      </c>
      <c r="N57" s="187"/>
      <c r="O57" s="187"/>
      <c r="P57" s="187"/>
      <c r="Q57" s="247"/>
      <c r="R57" s="247"/>
    </row>
    <row r="58" spans="1:18" s="154" customFormat="1" ht="96" customHeight="1">
      <c r="A58" s="35"/>
      <c r="B58" s="7" t="s">
        <v>365</v>
      </c>
      <c r="C58" s="8"/>
      <c r="D58" s="40" t="s">
        <v>278</v>
      </c>
      <c r="E58" s="3" t="s">
        <v>447</v>
      </c>
      <c r="F58" s="3" t="s">
        <v>831</v>
      </c>
      <c r="G58" s="6" t="s">
        <v>832</v>
      </c>
      <c r="H58" s="3" t="s">
        <v>394</v>
      </c>
      <c r="I58" s="3" t="s">
        <v>833</v>
      </c>
      <c r="J58" s="3" t="s">
        <v>395</v>
      </c>
      <c r="K58" s="3" t="s">
        <v>63</v>
      </c>
      <c r="L58" s="3" t="s">
        <v>19</v>
      </c>
      <c r="M58" s="3" t="s">
        <v>20</v>
      </c>
      <c r="N58" s="58">
        <v>1284.8</v>
      </c>
      <c r="O58" s="58">
        <f>1284800/1000</f>
        <v>1284.8</v>
      </c>
      <c r="P58" s="58">
        <v>1220.6</v>
      </c>
      <c r="Q58" s="57">
        <v>1220.6</v>
      </c>
      <c r="R58" s="57">
        <v>1220.6</v>
      </c>
    </row>
    <row r="59" spans="1:18" s="154" customFormat="1" ht="96" customHeight="1">
      <c r="A59" s="35"/>
      <c r="B59" s="7" t="s">
        <v>1183</v>
      </c>
      <c r="C59" s="8"/>
      <c r="D59" s="40" t="s">
        <v>135</v>
      </c>
      <c r="E59" s="59" t="s">
        <v>28</v>
      </c>
      <c r="F59" s="59" t="s">
        <v>41</v>
      </c>
      <c r="G59" s="59" t="s">
        <v>780</v>
      </c>
      <c r="H59" s="3" t="s">
        <v>1000</v>
      </c>
      <c r="I59" s="3" t="s">
        <v>1011</v>
      </c>
      <c r="J59" s="3" t="s">
        <v>1002</v>
      </c>
      <c r="K59" s="3" t="s">
        <v>1255</v>
      </c>
      <c r="L59" s="3" t="s">
        <v>865</v>
      </c>
      <c r="M59" s="3" t="s">
        <v>1223</v>
      </c>
      <c r="N59" s="58">
        <v>0</v>
      </c>
      <c r="O59" s="58">
        <v>0</v>
      </c>
      <c r="P59" s="58">
        <v>1000</v>
      </c>
      <c r="Q59" s="57">
        <v>0</v>
      </c>
      <c r="R59" s="57">
        <v>0</v>
      </c>
    </row>
    <row r="60" spans="1:18" s="154" customFormat="1" ht="96.75" customHeight="1">
      <c r="A60" s="35"/>
      <c r="B60" s="7" t="s">
        <v>289</v>
      </c>
      <c r="C60" s="8"/>
      <c r="D60" s="40" t="s">
        <v>270</v>
      </c>
      <c r="E60" s="59" t="s">
        <v>28</v>
      </c>
      <c r="F60" s="59" t="s">
        <v>41</v>
      </c>
      <c r="G60" s="59" t="s">
        <v>780</v>
      </c>
      <c r="H60" s="3" t="s">
        <v>391</v>
      </c>
      <c r="I60" s="3" t="s">
        <v>392</v>
      </c>
      <c r="J60" s="3" t="s">
        <v>393</v>
      </c>
      <c r="K60" s="3" t="s">
        <v>688</v>
      </c>
      <c r="L60" s="3" t="s">
        <v>366</v>
      </c>
      <c r="M60" s="6" t="s">
        <v>309</v>
      </c>
      <c r="N60" s="47">
        <v>300</v>
      </c>
      <c r="O60" s="47">
        <v>300</v>
      </c>
      <c r="P60" s="47">
        <f>1000+508.7</f>
        <v>1508.7</v>
      </c>
      <c r="Q60" s="48">
        <v>535.2</v>
      </c>
      <c r="R60" s="48">
        <v>561.4</v>
      </c>
    </row>
    <row r="61" spans="1:18" s="154" customFormat="1" ht="74.25" customHeight="1">
      <c r="A61" s="35"/>
      <c r="B61" s="7" t="s">
        <v>1136</v>
      </c>
      <c r="C61" s="8"/>
      <c r="D61" s="40" t="s">
        <v>270</v>
      </c>
      <c r="E61" s="59" t="s">
        <v>28</v>
      </c>
      <c r="F61" s="59" t="s">
        <v>41</v>
      </c>
      <c r="G61" s="59" t="s">
        <v>780</v>
      </c>
      <c r="H61" s="3" t="s">
        <v>391</v>
      </c>
      <c r="I61" s="3" t="s">
        <v>392</v>
      </c>
      <c r="J61" s="3" t="s">
        <v>393</v>
      </c>
      <c r="K61" s="3" t="s">
        <v>518</v>
      </c>
      <c r="L61" s="3"/>
      <c r="M61" s="6"/>
      <c r="N61" s="47">
        <v>0</v>
      </c>
      <c r="O61" s="47">
        <v>0</v>
      </c>
      <c r="P61" s="47">
        <v>1700</v>
      </c>
      <c r="Q61" s="48">
        <v>7625</v>
      </c>
      <c r="R61" s="48">
        <v>250</v>
      </c>
    </row>
    <row r="62" spans="1:18" s="154" customFormat="1" ht="84" customHeight="1">
      <c r="A62" s="35"/>
      <c r="B62" s="28" t="s">
        <v>658</v>
      </c>
      <c r="C62" s="91"/>
      <c r="D62" s="94" t="s">
        <v>135</v>
      </c>
      <c r="E62" s="59" t="s">
        <v>28</v>
      </c>
      <c r="F62" s="59" t="s">
        <v>41</v>
      </c>
      <c r="G62" s="59" t="s">
        <v>780</v>
      </c>
      <c r="H62" s="3" t="s">
        <v>659</v>
      </c>
      <c r="I62" s="3" t="s">
        <v>222</v>
      </c>
      <c r="J62" s="3" t="s">
        <v>660</v>
      </c>
      <c r="K62" s="103" t="s">
        <v>661</v>
      </c>
      <c r="L62" s="26" t="s">
        <v>378</v>
      </c>
      <c r="M62" s="26" t="s">
        <v>662</v>
      </c>
      <c r="N62" s="47">
        <v>1158</v>
      </c>
      <c r="O62" s="47">
        <v>1158</v>
      </c>
      <c r="P62" s="47">
        <v>0</v>
      </c>
      <c r="Q62" s="48">
        <v>0</v>
      </c>
      <c r="R62" s="48">
        <v>0</v>
      </c>
    </row>
    <row r="63" spans="1:18" s="154" customFormat="1" ht="71.25" customHeight="1">
      <c r="A63" s="38"/>
      <c r="B63" s="28" t="s">
        <v>710</v>
      </c>
      <c r="C63" s="91"/>
      <c r="D63" s="94" t="s">
        <v>12</v>
      </c>
      <c r="E63" s="59" t="s">
        <v>28</v>
      </c>
      <c r="F63" s="59" t="s">
        <v>41</v>
      </c>
      <c r="G63" s="59" t="s">
        <v>780</v>
      </c>
      <c r="H63" s="3" t="s">
        <v>711</v>
      </c>
      <c r="I63" s="3" t="s">
        <v>712</v>
      </c>
      <c r="J63" s="3" t="s">
        <v>713</v>
      </c>
      <c r="K63" s="26" t="s">
        <v>714</v>
      </c>
      <c r="L63" s="26" t="s">
        <v>7</v>
      </c>
      <c r="M63" s="26" t="s">
        <v>715</v>
      </c>
      <c r="N63" s="54">
        <v>378.92491</v>
      </c>
      <c r="O63" s="54">
        <f>378924.91/1000</f>
        <v>378.92490999999995</v>
      </c>
      <c r="P63" s="54">
        <v>0</v>
      </c>
      <c r="Q63" s="55">
        <v>0</v>
      </c>
      <c r="R63" s="55">
        <v>0</v>
      </c>
    </row>
    <row r="64" spans="1:18" s="154" customFormat="1" ht="83.25" customHeight="1">
      <c r="A64" s="38"/>
      <c r="B64" s="28" t="s">
        <v>757</v>
      </c>
      <c r="C64" s="89"/>
      <c r="D64" s="90" t="s">
        <v>135</v>
      </c>
      <c r="E64" s="59" t="s">
        <v>28</v>
      </c>
      <c r="F64" s="59" t="s">
        <v>41</v>
      </c>
      <c r="G64" s="59" t="s">
        <v>780</v>
      </c>
      <c r="H64" s="19" t="s">
        <v>769</v>
      </c>
      <c r="I64" s="19" t="s">
        <v>222</v>
      </c>
      <c r="J64" s="19" t="s">
        <v>770</v>
      </c>
      <c r="K64" s="25" t="s">
        <v>773</v>
      </c>
      <c r="L64" s="25" t="s">
        <v>536</v>
      </c>
      <c r="M64" s="25" t="s">
        <v>774</v>
      </c>
      <c r="N64" s="54">
        <v>1799.53</v>
      </c>
      <c r="O64" s="54">
        <f>1799530/1000</f>
        <v>1799.53</v>
      </c>
      <c r="P64" s="54">
        <v>0</v>
      </c>
      <c r="Q64" s="55">
        <v>0</v>
      </c>
      <c r="R64" s="55">
        <v>0</v>
      </c>
    </row>
    <row r="65" spans="1:18" s="154" customFormat="1" ht="94.5" customHeight="1">
      <c r="A65" s="35"/>
      <c r="B65" s="27" t="s">
        <v>1268</v>
      </c>
      <c r="C65" s="8"/>
      <c r="D65" s="40" t="s">
        <v>12</v>
      </c>
      <c r="E65" s="17" t="s">
        <v>28</v>
      </c>
      <c r="F65" s="17" t="s">
        <v>246</v>
      </c>
      <c r="G65" s="17" t="s">
        <v>780</v>
      </c>
      <c r="H65" s="110" t="s">
        <v>1000</v>
      </c>
      <c r="I65" s="110" t="s">
        <v>1001</v>
      </c>
      <c r="J65" s="110" t="s">
        <v>1002</v>
      </c>
      <c r="K65" s="24" t="s">
        <v>1285</v>
      </c>
      <c r="L65" s="24" t="s">
        <v>1141</v>
      </c>
      <c r="M65" s="62" t="s">
        <v>1286</v>
      </c>
      <c r="N65" s="47">
        <v>0</v>
      </c>
      <c r="O65" s="47">
        <v>0</v>
      </c>
      <c r="P65" s="47">
        <v>35</v>
      </c>
      <c r="Q65" s="48">
        <v>0</v>
      </c>
      <c r="R65" s="48">
        <v>0</v>
      </c>
    </row>
    <row r="66" spans="1:18" s="154" customFormat="1" ht="107.25" customHeight="1">
      <c r="A66" s="35"/>
      <c r="B66" s="28" t="s">
        <v>1068</v>
      </c>
      <c r="C66" s="91"/>
      <c r="D66" s="94" t="s">
        <v>131</v>
      </c>
      <c r="E66" s="106" t="s">
        <v>28</v>
      </c>
      <c r="F66" s="106" t="s">
        <v>41</v>
      </c>
      <c r="G66" s="106" t="s">
        <v>780</v>
      </c>
      <c r="H66" s="124" t="s">
        <v>1006</v>
      </c>
      <c r="I66" s="124" t="s">
        <v>1011</v>
      </c>
      <c r="J66" s="124" t="s">
        <v>1003</v>
      </c>
      <c r="K66" s="103" t="s">
        <v>1155</v>
      </c>
      <c r="L66" s="110" t="s">
        <v>531</v>
      </c>
      <c r="M66" s="110" t="s">
        <v>1187</v>
      </c>
      <c r="N66" s="47">
        <v>3000</v>
      </c>
      <c r="O66" s="47">
        <v>0</v>
      </c>
      <c r="P66" s="47">
        <v>0</v>
      </c>
      <c r="Q66" s="48">
        <v>0</v>
      </c>
      <c r="R66" s="48">
        <v>0</v>
      </c>
    </row>
    <row r="67" spans="1:18" s="153" customFormat="1" ht="11.25" customHeight="1">
      <c r="A67" s="34" t="s">
        <v>260</v>
      </c>
      <c r="B67" s="227" t="s">
        <v>261</v>
      </c>
      <c r="C67" s="228"/>
      <c r="D67" s="228"/>
      <c r="E67" s="228"/>
      <c r="F67" s="228"/>
      <c r="G67" s="228"/>
      <c r="H67" s="228"/>
      <c r="I67" s="228"/>
      <c r="J67" s="228"/>
      <c r="K67" s="228"/>
      <c r="L67" s="228"/>
      <c r="M67" s="229"/>
      <c r="N67" s="47"/>
      <c r="O67" s="47"/>
      <c r="P67" s="53"/>
      <c r="Q67" s="66"/>
      <c r="R67" s="66"/>
    </row>
    <row r="68" spans="1:18" s="153" customFormat="1" ht="11.25" customHeight="1">
      <c r="A68" s="34" t="s">
        <v>210</v>
      </c>
      <c r="B68" s="227" t="s">
        <v>83</v>
      </c>
      <c r="C68" s="228"/>
      <c r="D68" s="228"/>
      <c r="E68" s="228"/>
      <c r="F68" s="228"/>
      <c r="G68" s="228"/>
      <c r="H68" s="228"/>
      <c r="I68" s="228"/>
      <c r="J68" s="228"/>
      <c r="K68" s="228"/>
      <c r="L68" s="228"/>
      <c r="M68" s="229"/>
      <c r="N68" s="47"/>
      <c r="O68" s="47"/>
      <c r="P68" s="53"/>
      <c r="Q68" s="66"/>
      <c r="R68" s="66"/>
    </row>
    <row r="69" spans="1:18" s="153" customFormat="1" ht="36" customHeight="1">
      <c r="A69" s="34" t="s">
        <v>88</v>
      </c>
      <c r="B69" s="227" t="s">
        <v>786</v>
      </c>
      <c r="C69" s="228"/>
      <c r="D69" s="228"/>
      <c r="E69" s="228"/>
      <c r="F69" s="228"/>
      <c r="G69" s="228"/>
      <c r="H69" s="228"/>
      <c r="I69" s="228"/>
      <c r="J69" s="228"/>
      <c r="K69" s="228"/>
      <c r="L69" s="228"/>
      <c r="M69" s="229"/>
      <c r="N69" s="46">
        <f>SUM(N70:N114)</f>
        <v>296239.60891</v>
      </c>
      <c r="O69" s="46">
        <f>SUM(O70:O114)</f>
        <v>295717.14134000003</v>
      </c>
      <c r="P69" s="46">
        <f>SUM(P70:P114)</f>
        <v>258376.36408000006</v>
      </c>
      <c r="Q69" s="46">
        <f>SUM(Q70:Q114)</f>
        <v>248334.09999999998</v>
      </c>
      <c r="R69" s="46">
        <f>SUM(R70:R114)</f>
        <v>256049.69999999998</v>
      </c>
    </row>
    <row r="70" spans="1:18" s="154" customFormat="1" ht="86.25" customHeight="1">
      <c r="A70" s="37"/>
      <c r="B70" s="21" t="s">
        <v>199</v>
      </c>
      <c r="C70" s="201"/>
      <c r="D70" s="41" t="s">
        <v>200</v>
      </c>
      <c r="E70" s="17" t="s">
        <v>28</v>
      </c>
      <c r="F70" s="17" t="s">
        <v>246</v>
      </c>
      <c r="G70" s="17" t="s">
        <v>780</v>
      </c>
      <c r="H70" s="188" t="s">
        <v>160</v>
      </c>
      <c r="I70" s="188" t="s">
        <v>164</v>
      </c>
      <c r="J70" s="188" t="s">
        <v>202</v>
      </c>
      <c r="K70" s="17" t="s">
        <v>744</v>
      </c>
      <c r="L70" s="17" t="s">
        <v>151</v>
      </c>
      <c r="M70" s="17" t="s">
        <v>27</v>
      </c>
      <c r="N70" s="186">
        <f>(105343556.94+1000000+19100+316158.09+79754.78+18257+230316+413955.72+1047+85588+133275)/1000</f>
        <v>107641.00853</v>
      </c>
      <c r="O70" s="186">
        <f>(105343556.94+1000000+19100+316158.09+79754.78+18257+230316+412905.72+1047+85588+133275)/1000</f>
        <v>107639.95853</v>
      </c>
      <c r="P70" s="186">
        <f>99576.8+473.4</f>
        <v>100050.2</v>
      </c>
      <c r="Q70" s="233">
        <v>101480.8</v>
      </c>
      <c r="R70" s="233">
        <v>102941.8</v>
      </c>
    </row>
    <row r="71" spans="1:18" s="154" customFormat="1" ht="48.75" customHeight="1">
      <c r="A71" s="84"/>
      <c r="B71" s="82"/>
      <c r="C71" s="201"/>
      <c r="D71" s="76"/>
      <c r="E71" s="18" t="s">
        <v>244</v>
      </c>
      <c r="F71" s="18" t="s">
        <v>834</v>
      </c>
      <c r="G71" s="18" t="s">
        <v>835</v>
      </c>
      <c r="H71" s="202"/>
      <c r="I71" s="202"/>
      <c r="J71" s="202"/>
      <c r="K71" s="202" t="s">
        <v>511</v>
      </c>
      <c r="L71" s="202" t="s">
        <v>213</v>
      </c>
      <c r="M71" s="202" t="s">
        <v>27</v>
      </c>
      <c r="N71" s="235"/>
      <c r="O71" s="235"/>
      <c r="P71" s="235"/>
      <c r="Q71" s="234"/>
      <c r="R71" s="234"/>
    </row>
    <row r="72" spans="1:18" s="154" customFormat="1" ht="37.5" customHeight="1">
      <c r="A72" s="84"/>
      <c r="B72" s="82"/>
      <c r="C72" s="201"/>
      <c r="D72" s="76"/>
      <c r="E72" s="18" t="s">
        <v>214</v>
      </c>
      <c r="F72" s="18" t="s">
        <v>800</v>
      </c>
      <c r="G72" s="18" t="s">
        <v>217</v>
      </c>
      <c r="H72" s="202" t="s">
        <v>241</v>
      </c>
      <c r="I72" s="202" t="s">
        <v>105</v>
      </c>
      <c r="J72" s="202" t="s">
        <v>174</v>
      </c>
      <c r="K72" s="202"/>
      <c r="L72" s="202"/>
      <c r="M72" s="202"/>
      <c r="N72" s="235"/>
      <c r="O72" s="235"/>
      <c r="P72" s="235"/>
      <c r="Q72" s="234"/>
      <c r="R72" s="234"/>
    </row>
    <row r="73" spans="1:18" s="154" customFormat="1" ht="93.75" customHeight="1">
      <c r="A73" s="84"/>
      <c r="B73" s="82"/>
      <c r="C73" s="201"/>
      <c r="D73" s="76"/>
      <c r="E73" s="18" t="s">
        <v>35</v>
      </c>
      <c r="F73" s="18" t="s">
        <v>216</v>
      </c>
      <c r="G73" s="18" t="s">
        <v>104</v>
      </c>
      <c r="H73" s="202"/>
      <c r="I73" s="202"/>
      <c r="J73" s="202"/>
      <c r="K73" s="202"/>
      <c r="L73" s="202"/>
      <c r="M73" s="202"/>
      <c r="N73" s="235"/>
      <c r="O73" s="235"/>
      <c r="P73" s="235"/>
      <c r="Q73" s="234"/>
      <c r="R73" s="234"/>
    </row>
    <row r="74" spans="1:18" s="154" customFormat="1" ht="61.5" customHeight="1">
      <c r="A74" s="84"/>
      <c r="B74" s="82"/>
      <c r="C74" s="15"/>
      <c r="D74" s="76" t="s">
        <v>1239</v>
      </c>
      <c r="E74" s="18" t="s">
        <v>244</v>
      </c>
      <c r="F74" s="18" t="s">
        <v>146</v>
      </c>
      <c r="G74" s="18" t="s">
        <v>835</v>
      </c>
      <c r="H74" s="18" t="s">
        <v>160</v>
      </c>
      <c r="I74" s="18" t="s">
        <v>147</v>
      </c>
      <c r="J74" s="135" t="s">
        <v>148</v>
      </c>
      <c r="K74" s="18" t="s">
        <v>158</v>
      </c>
      <c r="L74" s="18" t="s">
        <v>149</v>
      </c>
      <c r="M74" s="18" t="s">
        <v>27</v>
      </c>
      <c r="N74" s="168"/>
      <c r="O74" s="168"/>
      <c r="P74" s="50"/>
      <c r="Q74" s="60"/>
      <c r="R74" s="60"/>
    </row>
    <row r="75" spans="1:18" s="154" customFormat="1" ht="72" customHeight="1">
      <c r="A75" s="37"/>
      <c r="B75" s="21" t="s">
        <v>100</v>
      </c>
      <c r="C75" s="15"/>
      <c r="D75" s="77" t="s">
        <v>12</v>
      </c>
      <c r="E75" s="17" t="s">
        <v>28</v>
      </c>
      <c r="F75" s="17" t="s">
        <v>246</v>
      </c>
      <c r="G75" s="17" t="s">
        <v>780</v>
      </c>
      <c r="H75" s="17" t="s">
        <v>160</v>
      </c>
      <c r="I75" s="17" t="s">
        <v>164</v>
      </c>
      <c r="J75" s="74" t="s">
        <v>148</v>
      </c>
      <c r="K75" s="17" t="s">
        <v>689</v>
      </c>
      <c r="L75" s="17" t="s">
        <v>77</v>
      </c>
      <c r="M75" s="17" t="s">
        <v>113</v>
      </c>
      <c r="N75" s="186">
        <f>(39500034.83+64209+100000+262354.8+4666021.23+382756.06+15817.53+94960+292307.04+109087.94+2142655.81+65791+2347+3329.99+156077.78+49072.03+34864.36+370000)/1000</f>
        <v>48311.686400000006</v>
      </c>
      <c r="O75" s="186">
        <f>(39500024.67+64209+100000+262354.8+4666021.23+382756.06+15817.53+94960+292307.04+109087.94+2142655.81+65528.21+2347+3313.09+156056.36+49072.03+34864.36+369990)/1000</f>
        <v>48311.36513000001</v>
      </c>
      <c r="P75" s="186">
        <f>51318.76408-7.7-667-10.9+15304.5-47.4</f>
        <v>65890.26408000001</v>
      </c>
      <c r="Q75" s="233">
        <v>71356.5</v>
      </c>
      <c r="R75" s="233">
        <v>75876.7</v>
      </c>
    </row>
    <row r="76" spans="1:18" s="154" customFormat="1" ht="74.25" customHeight="1">
      <c r="A76" s="84"/>
      <c r="B76" s="82"/>
      <c r="C76" s="244"/>
      <c r="D76" s="76"/>
      <c r="E76" s="18" t="s">
        <v>214</v>
      </c>
      <c r="F76" s="18" t="s">
        <v>800</v>
      </c>
      <c r="G76" s="18" t="s">
        <v>217</v>
      </c>
      <c r="H76" s="202" t="s">
        <v>241</v>
      </c>
      <c r="I76" s="202" t="s">
        <v>105</v>
      </c>
      <c r="J76" s="202" t="s">
        <v>174</v>
      </c>
      <c r="K76" s="202" t="s">
        <v>511</v>
      </c>
      <c r="L76" s="202" t="s">
        <v>213</v>
      </c>
      <c r="M76" s="202" t="s">
        <v>27</v>
      </c>
      <c r="N76" s="235"/>
      <c r="O76" s="235"/>
      <c r="P76" s="235"/>
      <c r="Q76" s="234"/>
      <c r="R76" s="234"/>
    </row>
    <row r="77" spans="1:18" s="154" customFormat="1" ht="108" customHeight="1">
      <c r="A77" s="84"/>
      <c r="B77" s="82"/>
      <c r="C77" s="237"/>
      <c r="D77" s="76"/>
      <c r="E77" s="18" t="s">
        <v>35</v>
      </c>
      <c r="F77" s="18" t="s">
        <v>216</v>
      </c>
      <c r="G77" s="18" t="s">
        <v>104</v>
      </c>
      <c r="H77" s="202"/>
      <c r="I77" s="202"/>
      <c r="J77" s="202"/>
      <c r="K77" s="202"/>
      <c r="L77" s="202"/>
      <c r="M77" s="202"/>
      <c r="N77" s="235"/>
      <c r="O77" s="235"/>
      <c r="P77" s="235"/>
      <c r="Q77" s="234"/>
      <c r="R77" s="234"/>
    </row>
    <row r="78" spans="1:18" s="154" customFormat="1" ht="48" customHeight="1">
      <c r="A78" s="84"/>
      <c r="B78" s="82"/>
      <c r="C78" s="8"/>
      <c r="D78" s="76"/>
      <c r="E78" s="18"/>
      <c r="F78" s="18"/>
      <c r="G78" s="18"/>
      <c r="H78" s="18"/>
      <c r="I78" s="18"/>
      <c r="J78" s="18"/>
      <c r="K78" s="18" t="s">
        <v>167</v>
      </c>
      <c r="L78" s="18" t="s">
        <v>222</v>
      </c>
      <c r="M78" s="18" t="s">
        <v>168</v>
      </c>
      <c r="N78" s="50"/>
      <c r="O78" s="50"/>
      <c r="P78" s="50"/>
      <c r="Q78" s="60"/>
      <c r="R78" s="60"/>
    </row>
    <row r="79" spans="1:18" s="154" customFormat="1" ht="38.25" customHeight="1">
      <c r="A79" s="84"/>
      <c r="B79" s="82"/>
      <c r="C79" s="8"/>
      <c r="D79" s="76"/>
      <c r="E79" s="18"/>
      <c r="F79" s="18"/>
      <c r="G79" s="18"/>
      <c r="H79" s="18"/>
      <c r="I79" s="18"/>
      <c r="J79" s="18"/>
      <c r="K79" s="18" t="s">
        <v>1240</v>
      </c>
      <c r="L79" s="18" t="s">
        <v>1141</v>
      </c>
      <c r="M79" s="18" t="s">
        <v>1241</v>
      </c>
      <c r="N79" s="50"/>
      <c r="O79" s="50"/>
      <c r="P79" s="50"/>
      <c r="Q79" s="60"/>
      <c r="R79" s="60"/>
    </row>
    <row r="80" spans="1:18" s="154" customFormat="1" ht="74.25" customHeight="1">
      <c r="A80" s="83"/>
      <c r="B80" s="75"/>
      <c r="C80" s="8"/>
      <c r="D80" s="78"/>
      <c r="E80" s="19"/>
      <c r="F80" s="19"/>
      <c r="G80" s="19"/>
      <c r="H80" s="19"/>
      <c r="I80" s="19"/>
      <c r="J80" s="19"/>
      <c r="K80" s="19" t="s">
        <v>514</v>
      </c>
      <c r="L80" s="19" t="s">
        <v>222</v>
      </c>
      <c r="M80" s="19" t="s">
        <v>159</v>
      </c>
      <c r="N80" s="54"/>
      <c r="O80" s="54"/>
      <c r="P80" s="54"/>
      <c r="Q80" s="55"/>
      <c r="R80" s="55"/>
    </row>
    <row r="81" spans="1:18" s="154" customFormat="1" ht="73.5" customHeight="1">
      <c r="A81" s="35"/>
      <c r="B81" s="7" t="s">
        <v>483</v>
      </c>
      <c r="C81" s="8"/>
      <c r="D81" s="40" t="s">
        <v>12</v>
      </c>
      <c r="E81" s="3" t="s">
        <v>244</v>
      </c>
      <c r="F81" s="3" t="s">
        <v>245</v>
      </c>
      <c r="G81" s="3" t="s">
        <v>835</v>
      </c>
      <c r="H81" s="3" t="s">
        <v>594</v>
      </c>
      <c r="I81" s="3" t="s">
        <v>595</v>
      </c>
      <c r="J81" s="3" t="s">
        <v>370</v>
      </c>
      <c r="K81" s="3" t="s">
        <v>1090</v>
      </c>
      <c r="L81" s="3" t="s">
        <v>222</v>
      </c>
      <c r="M81" s="6" t="s">
        <v>113</v>
      </c>
      <c r="N81" s="47">
        <f>(222333+3184667)/1000</f>
        <v>3407</v>
      </c>
      <c r="O81" s="47">
        <f>(219252.61+3100656.06)/1000</f>
        <v>3319.90867</v>
      </c>
      <c r="P81" s="47">
        <v>3243</v>
      </c>
      <c r="Q81" s="48">
        <v>3243</v>
      </c>
      <c r="R81" s="48">
        <v>3243</v>
      </c>
    </row>
    <row r="82" spans="1:18" s="154" customFormat="1" ht="34.5" customHeight="1">
      <c r="A82" s="267"/>
      <c r="B82" s="268" t="s">
        <v>243</v>
      </c>
      <c r="C82" s="8"/>
      <c r="D82" s="41" t="s">
        <v>200</v>
      </c>
      <c r="E82" s="17" t="s">
        <v>244</v>
      </c>
      <c r="F82" s="17" t="s">
        <v>398</v>
      </c>
      <c r="G82" s="17" t="s">
        <v>835</v>
      </c>
      <c r="H82" s="188" t="s">
        <v>160</v>
      </c>
      <c r="I82" s="188" t="s">
        <v>164</v>
      </c>
      <c r="J82" s="188" t="s">
        <v>148</v>
      </c>
      <c r="K82" s="269" t="s">
        <v>373</v>
      </c>
      <c r="L82" s="188" t="s">
        <v>366</v>
      </c>
      <c r="M82" s="188" t="s">
        <v>309</v>
      </c>
      <c r="N82" s="49">
        <v>2111.321</v>
      </c>
      <c r="O82" s="49">
        <f>2110742.59/1000</f>
        <v>2110.74259</v>
      </c>
      <c r="P82" s="142">
        <v>6460</v>
      </c>
      <c r="Q82" s="233">
        <v>14173.3</v>
      </c>
      <c r="R82" s="233">
        <v>14867.8</v>
      </c>
    </row>
    <row r="83" spans="1:18" s="154" customFormat="1" ht="31.5" customHeight="1">
      <c r="A83" s="267"/>
      <c r="B83" s="268"/>
      <c r="C83" s="8"/>
      <c r="D83" s="42" t="s">
        <v>12</v>
      </c>
      <c r="E83" s="202" t="s">
        <v>28</v>
      </c>
      <c r="F83" s="202" t="s">
        <v>246</v>
      </c>
      <c r="G83" s="202" t="s">
        <v>780</v>
      </c>
      <c r="H83" s="202"/>
      <c r="I83" s="202"/>
      <c r="J83" s="202"/>
      <c r="K83" s="269"/>
      <c r="L83" s="202"/>
      <c r="M83" s="202"/>
      <c r="N83" s="50">
        <f>(2371853.59+18699.12+139080)/1000</f>
        <v>2529.63271</v>
      </c>
      <c r="O83" s="50">
        <f>(2371251.59+18699.12+139080)/1000</f>
        <v>2529.03071</v>
      </c>
      <c r="P83" s="161">
        <f>7.7+5305</f>
        <v>5312.7</v>
      </c>
      <c r="Q83" s="234"/>
      <c r="R83" s="234"/>
    </row>
    <row r="84" spans="1:18" s="154" customFormat="1" ht="31.5" customHeight="1">
      <c r="A84" s="267"/>
      <c r="B84" s="268"/>
      <c r="C84" s="8"/>
      <c r="D84" s="44" t="s">
        <v>12</v>
      </c>
      <c r="E84" s="189"/>
      <c r="F84" s="189"/>
      <c r="G84" s="189"/>
      <c r="H84" s="189"/>
      <c r="I84" s="189"/>
      <c r="J84" s="189"/>
      <c r="K84" s="269"/>
      <c r="L84" s="189"/>
      <c r="M84" s="189"/>
      <c r="N84" s="54">
        <v>427.45</v>
      </c>
      <c r="O84" s="54">
        <f>427450/1000</f>
        <v>427.45</v>
      </c>
      <c r="P84" s="93">
        <f>1700</f>
        <v>1700</v>
      </c>
      <c r="Q84" s="247"/>
      <c r="R84" s="247"/>
    </row>
    <row r="85" spans="1:18" s="154" customFormat="1" ht="49.5" customHeight="1">
      <c r="A85" s="197"/>
      <c r="B85" s="231" t="s">
        <v>107</v>
      </c>
      <c r="C85" s="8"/>
      <c r="D85" s="199" t="s">
        <v>12</v>
      </c>
      <c r="E85" s="17" t="s">
        <v>244</v>
      </c>
      <c r="F85" s="17" t="s">
        <v>61</v>
      </c>
      <c r="G85" s="17" t="s">
        <v>835</v>
      </c>
      <c r="H85" s="17" t="s">
        <v>160</v>
      </c>
      <c r="I85" s="17" t="s">
        <v>164</v>
      </c>
      <c r="J85" s="17" t="s">
        <v>148</v>
      </c>
      <c r="K85" s="17" t="s">
        <v>150</v>
      </c>
      <c r="L85" s="17" t="s">
        <v>151</v>
      </c>
      <c r="M85" s="74" t="s">
        <v>27</v>
      </c>
      <c r="N85" s="186">
        <f>(38083300+27000+45500+1082408.38+347537.9+75000)/1000</f>
        <v>39660.74628</v>
      </c>
      <c r="O85" s="186">
        <f>(38083300+27000+45500+1079380.38+347537.9+75000)/1000</f>
        <v>39657.71828</v>
      </c>
      <c r="P85" s="186">
        <f>40094.8+373.9</f>
        <v>40468.700000000004</v>
      </c>
      <c r="Q85" s="233">
        <v>41435</v>
      </c>
      <c r="R85" s="233">
        <v>41934.5</v>
      </c>
    </row>
    <row r="86" spans="1:18" s="154" customFormat="1" ht="75" customHeight="1">
      <c r="A86" s="198"/>
      <c r="B86" s="232"/>
      <c r="C86" s="244"/>
      <c r="D86" s="200"/>
      <c r="E86" s="18" t="s">
        <v>214</v>
      </c>
      <c r="F86" s="18" t="s">
        <v>800</v>
      </c>
      <c r="G86" s="18" t="s">
        <v>217</v>
      </c>
      <c r="H86" s="202" t="s">
        <v>241</v>
      </c>
      <c r="I86" s="202" t="s">
        <v>105</v>
      </c>
      <c r="J86" s="202" t="s">
        <v>174</v>
      </c>
      <c r="K86" s="202" t="s">
        <v>511</v>
      </c>
      <c r="L86" s="202" t="s">
        <v>213</v>
      </c>
      <c r="M86" s="202" t="s">
        <v>27</v>
      </c>
      <c r="N86" s="235"/>
      <c r="O86" s="235"/>
      <c r="P86" s="235"/>
      <c r="Q86" s="234"/>
      <c r="R86" s="234"/>
    </row>
    <row r="87" spans="1:18" s="154" customFormat="1" ht="104.25" customHeight="1">
      <c r="A87" s="230"/>
      <c r="B87" s="246"/>
      <c r="C87" s="237"/>
      <c r="D87" s="239"/>
      <c r="E87" s="19" t="s">
        <v>35</v>
      </c>
      <c r="F87" s="19" t="s">
        <v>216</v>
      </c>
      <c r="G87" s="19" t="s">
        <v>104</v>
      </c>
      <c r="H87" s="189"/>
      <c r="I87" s="189"/>
      <c r="J87" s="189"/>
      <c r="K87" s="189"/>
      <c r="L87" s="189"/>
      <c r="M87" s="189"/>
      <c r="N87" s="187"/>
      <c r="O87" s="187"/>
      <c r="P87" s="187"/>
      <c r="Q87" s="247"/>
      <c r="R87" s="247"/>
    </row>
    <row r="88" spans="1:18" s="154" customFormat="1" ht="30.75" customHeight="1">
      <c r="A88" s="197"/>
      <c r="B88" s="231" t="s">
        <v>6</v>
      </c>
      <c r="C88" s="15"/>
      <c r="D88" s="41" t="s">
        <v>12</v>
      </c>
      <c r="E88" s="188" t="s">
        <v>244</v>
      </c>
      <c r="F88" s="188" t="s">
        <v>245</v>
      </c>
      <c r="G88" s="188" t="s">
        <v>835</v>
      </c>
      <c r="H88" s="188"/>
      <c r="I88" s="188"/>
      <c r="J88" s="188"/>
      <c r="K88" s="188" t="s">
        <v>1090</v>
      </c>
      <c r="L88" s="188" t="s">
        <v>222</v>
      </c>
      <c r="M88" s="190" t="s">
        <v>113</v>
      </c>
      <c r="N88" s="49">
        <f>(499751.41+244155.59+3347088.99+9900)/1000+202</f>
        <v>4302.89599</v>
      </c>
      <c r="O88" s="49">
        <f>(499726.6+244150.01+3288763.5+8116.9)/1000+202</f>
        <v>4242.757009999999</v>
      </c>
      <c r="P88" s="49">
        <f>4346+47.4+667+10.9</f>
        <v>5071.299999999999</v>
      </c>
      <c r="Q88" s="52">
        <v>5335</v>
      </c>
      <c r="R88" s="52">
        <v>5596.4</v>
      </c>
    </row>
    <row r="89" spans="1:18" s="154" customFormat="1" ht="30.75" customHeight="1">
      <c r="A89" s="230"/>
      <c r="B89" s="246"/>
      <c r="C89" s="16"/>
      <c r="D89" s="44" t="s">
        <v>200</v>
      </c>
      <c r="E89" s="189"/>
      <c r="F89" s="189"/>
      <c r="G89" s="189"/>
      <c r="H89" s="189"/>
      <c r="I89" s="189"/>
      <c r="J89" s="189"/>
      <c r="K89" s="189"/>
      <c r="L89" s="189"/>
      <c r="M89" s="192"/>
      <c r="N89" s="54">
        <v>30.798</v>
      </c>
      <c r="O89" s="54">
        <f>30798/1000</f>
        <v>30.798</v>
      </c>
      <c r="P89" s="54">
        <v>0</v>
      </c>
      <c r="Q89" s="55">
        <v>0</v>
      </c>
      <c r="R89" s="55">
        <v>0</v>
      </c>
    </row>
    <row r="90" spans="1:18" s="154" customFormat="1" ht="108.75" customHeight="1">
      <c r="A90" s="35"/>
      <c r="B90" s="7" t="s">
        <v>78</v>
      </c>
      <c r="C90" s="8"/>
      <c r="D90" s="40" t="s">
        <v>12</v>
      </c>
      <c r="E90" s="3" t="s">
        <v>244</v>
      </c>
      <c r="F90" s="3" t="s">
        <v>245</v>
      </c>
      <c r="G90" s="3" t="s">
        <v>835</v>
      </c>
      <c r="H90" s="3" t="s">
        <v>399</v>
      </c>
      <c r="I90" s="3" t="s">
        <v>103</v>
      </c>
      <c r="J90" s="3" t="s">
        <v>400</v>
      </c>
      <c r="K90" s="26" t="s">
        <v>1198</v>
      </c>
      <c r="L90" s="26" t="s">
        <v>1141</v>
      </c>
      <c r="M90" s="26" t="s">
        <v>1149</v>
      </c>
      <c r="N90" s="47">
        <v>20843.9</v>
      </c>
      <c r="O90" s="47">
        <f>20843900/1000</f>
        <v>20843.9</v>
      </c>
      <c r="P90" s="51">
        <v>15680</v>
      </c>
      <c r="Q90" s="51">
        <v>0</v>
      </c>
      <c r="R90" s="51">
        <v>0</v>
      </c>
    </row>
    <row r="91" spans="1:18" s="154" customFormat="1" ht="63" customHeight="1">
      <c r="A91" s="35"/>
      <c r="B91" s="7" t="s">
        <v>89</v>
      </c>
      <c r="C91" s="8"/>
      <c r="D91" s="40" t="s">
        <v>134</v>
      </c>
      <c r="E91" s="3" t="s">
        <v>28</v>
      </c>
      <c r="F91" s="3" t="s">
        <v>246</v>
      </c>
      <c r="G91" s="3" t="s">
        <v>780</v>
      </c>
      <c r="H91" s="3"/>
      <c r="I91" s="3"/>
      <c r="J91" s="3"/>
      <c r="K91" s="3" t="s">
        <v>1229</v>
      </c>
      <c r="L91" s="3" t="s">
        <v>222</v>
      </c>
      <c r="M91" s="6" t="s">
        <v>229</v>
      </c>
      <c r="N91" s="47">
        <f>1592350/1000</f>
        <v>1592.35</v>
      </c>
      <c r="O91" s="47">
        <f>1592350/1000</f>
        <v>1592.35</v>
      </c>
      <c r="P91" s="47">
        <v>1732.2</v>
      </c>
      <c r="Q91" s="48">
        <v>1741.9</v>
      </c>
      <c r="R91" s="48">
        <v>1748.9</v>
      </c>
    </row>
    <row r="92" spans="1:18" s="154" customFormat="1" ht="82.5" customHeight="1">
      <c r="A92" s="35"/>
      <c r="B92" s="7" t="s">
        <v>198</v>
      </c>
      <c r="C92" s="8"/>
      <c r="D92" s="40" t="s">
        <v>134</v>
      </c>
      <c r="E92" s="3" t="s">
        <v>28</v>
      </c>
      <c r="F92" s="3" t="s">
        <v>246</v>
      </c>
      <c r="G92" s="3" t="s">
        <v>780</v>
      </c>
      <c r="H92" s="3" t="s">
        <v>384</v>
      </c>
      <c r="I92" s="3" t="s">
        <v>401</v>
      </c>
      <c r="J92" s="3" t="s">
        <v>386</v>
      </c>
      <c r="K92" s="3" t="s">
        <v>1225</v>
      </c>
      <c r="L92" s="3" t="s">
        <v>222</v>
      </c>
      <c r="M92" s="6" t="s">
        <v>1226</v>
      </c>
      <c r="N92" s="47">
        <v>3482.1</v>
      </c>
      <c r="O92" s="47">
        <f>3482092/1000</f>
        <v>3482.092</v>
      </c>
      <c r="P92" s="47">
        <v>5275.6</v>
      </c>
      <c r="Q92" s="47">
        <v>5549.9</v>
      </c>
      <c r="R92" s="47">
        <v>5821.9</v>
      </c>
    </row>
    <row r="93" spans="1:18" s="154" customFormat="1" ht="94.5" customHeight="1">
      <c r="A93" s="36"/>
      <c r="B93" s="21" t="s">
        <v>455</v>
      </c>
      <c r="C93" s="15"/>
      <c r="D93" s="41" t="s">
        <v>200</v>
      </c>
      <c r="E93" s="17" t="s">
        <v>28</v>
      </c>
      <c r="F93" s="17" t="s">
        <v>246</v>
      </c>
      <c r="G93" s="17" t="s">
        <v>780</v>
      </c>
      <c r="H93" s="17" t="s">
        <v>456</v>
      </c>
      <c r="I93" s="17" t="s">
        <v>222</v>
      </c>
      <c r="J93" s="17" t="s">
        <v>370</v>
      </c>
      <c r="K93" s="24" t="s">
        <v>1196</v>
      </c>
      <c r="L93" s="24" t="s">
        <v>1141</v>
      </c>
      <c r="M93" s="24" t="s">
        <v>1197</v>
      </c>
      <c r="N93" s="49">
        <v>5715</v>
      </c>
      <c r="O93" s="49">
        <f>5715000/1000</f>
        <v>5715</v>
      </c>
      <c r="P93" s="49">
        <v>3440.6</v>
      </c>
      <c r="Q93" s="52">
        <v>3440.6</v>
      </c>
      <c r="R93" s="52">
        <v>3440.6</v>
      </c>
    </row>
    <row r="94" spans="1:18" s="154" customFormat="1" ht="102" customHeight="1">
      <c r="A94" s="35"/>
      <c r="B94" s="28" t="s">
        <v>632</v>
      </c>
      <c r="C94" s="8"/>
      <c r="D94" s="40" t="s">
        <v>12</v>
      </c>
      <c r="E94" s="3" t="s">
        <v>28</v>
      </c>
      <c r="F94" s="3" t="s">
        <v>246</v>
      </c>
      <c r="G94" s="3" t="s">
        <v>780</v>
      </c>
      <c r="H94" s="3" t="s">
        <v>690</v>
      </c>
      <c r="I94" s="3" t="s">
        <v>62</v>
      </c>
      <c r="J94" s="3" t="s">
        <v>691</v>
      </c>
      <c r="K94" s="26" t="s">
        <v>1224</v>
      </c>
      <c r="L94" s="26" t="s">
        <v>178</v>
      </c>
      <c r="M94" s="26" t="s">
        <v>691</v>
      </c>
      <c r="N94" s="47">
        <v>1593.648</v>
      </c>
      <c r="O94" s="47">
        <f>1224000/1000</f>
        <v>1224</v>
      </c>
      <c r="P94" s="47">
        <v>2000</v>
      </c>
      <c r="Q94" s="48">
        <v>0</v>
      </c>
      <c r="R94" s="48">
        <v>0</v>
      </c>
    </row>
    <row r="95" spans="1:18" s="154" customFormat="1" ht="85.5" customHeight="1">
      <c r="A95" s="84"/>
      <c r="B95" s="104" t="s">
        <v>458</v>
      </c>
      <c r="C95" s="65"/>
      <c r="D95" s="42" t="s">
        <v>200</v>
      </c>
      <c r="E95" s="17" t="s">
        <v>28</v>
      </c>
      <c r="F95" s="17" t="s">
        <v>246</v>
      </c>
      <c r="G95" s="17" t="s">
        <v>780</v>
      </c>
      <c r="H95" s="17" t="s">
        <v>384</v>
      </c>
      <c r="I95" s="17" t="s">
        <v>459</v>
      </c>
      <c r="J95" s="175" t="s">
        <v>386</v>
      </c>
      <c r="K95" s="70" t="s">
        <v>746</v>
      </c>
      <c r="L95" s="70" t="s">
        <v>222</v>
      </c>
      <c r="M95" s="70" t="s">
        <v>747</v>
      </c>
      <c r="N95" s="148">
        <v>10400</v>
      </c>
      <c r="O95" s="147">
        <f>10400</f>
        <v>10400</v>
      </c>
      <c r="P95" s="148">
        <v>0</v>
      </c>
      <c r="Q95" s="149">
        <v>0</v>
      </c>
      <c r="R95" s="151">
        <v>0</v>
      </c>
    </row>
    <row r="96" spans="1:18" s="154" customFormat="1" ht="82.5" customHeight="1">
      <c r="A96" s="35"/>
      <c r="B96" s="28" t="s">
        <v>620</v>
      </c>
      <c r="C96" s="8"/>
      <c r="D96" s="40" t="s">
        <v>12</v>
      </c>
      <c r="E96" s="17" t="s">
        <v>28</v>
      </c>
      <c r="F96" s="17" t="s">
        <v>246</v>
      </c>
      <c r="G96" s="17" t="s">
        <v>780</v>
      </c>
      <c r="H96" s="3" t="s">
        <v>709</v>
      </c>
      <c r="I96" s="3" t="s">
        <v>222</v>
      </c>
      <c r="J96" s="3" t="s">
        <v>606</v>
      </c>
      <c r="K96" s="26" t="s">
        <v>708</v>
      </c>
      <c r="L96" s="26" t="s">
        <v>222</v>
      </c>
      <c r="M96" s="26" t="s">
        <v>603</v>
      </c>
      <c r="N96" s="47">
        <v>18337</v>
      </c>
      <c r="O96" s="47">
        <v>18337</v>
      </c>
      <c r="P96" s="47">
        <v>0</v>
      </c>
      <c r="Q96" s="48">
        <v>0</v>
      </c>
      <c r="R96" s="48">
        <v>0</v>
      </c>
    </row>
    <row r="97" spans="1:18" s="154" customFormat="1" ht="96.75" customHeight="1">
      <c r="A97" s="197"/>
      <c r="B97" s="209" t="s">
        <v>1145</v>
      </c>
      <c r="C97" s="8"/>
      <c r="D97" s="199" t="s">
        <v>12</v>
      </c>
      <c r="E97" s="188" t="s">
        <v>28</v>
      </c>
      <c r="F97" s="188" t="s">
        <v>246</v>
      </c>
      <c r="G97" s="188" t="s">
        <v>780</v>
      </c>
      <c r="H97" s="17" t="s">
        <v>612</v>
      </c>
      <c r="I97" s="17" t="s">
        <v>613</v>
      </c>
      <c r="J97" s="17" t="s">
        <v>530</v>
      </c>
      <c r="K97" s="24" t="s">
        <v>947</v>
      </c>
      <c r="L97" s="24" t="s">
        <v>7</v>
      </c>
      <c r="M97" s="24" t="s">
        <v>600</v>
      </c>
      <c r="N97" s="186">
        <v>485.662</v>
      </c>
      <c r="O97" s="186">
        <f>485660.42/1000</f>
        <v>485.66042</v>
      </c>
      <c r="P97" s="186">
        <v>890.6</v>
      </c>
      <c r="Q97" s="233">
        <v>578.1</v>
      </c>
      <c r="R97" s="233">
        <v>578.1</v>
      </c>
    </row>
    <row r="98" spans="1:18" s="154" customFormat="1" ht="97.5" customHeight="1">
      <c r="A98" s="230"/>
      <c r="B98" s="210"/>
      <c r="C98" s="8"/>
      <c r="D98" s="239"/>
      <c r="E98" s="189"/>
      <c r="F98" s="189"/>
      <c r="G98" s="189"/>
      <c r="H98" s="19" t="s">
        <v>1146</v>
      </c>
      <c r="I98" s="19" t="s">
        <v>865</v>
      </c>
      <c r="J98" s="19" t="s">
        <v>530</v>
      </c>
      <c r="K98" s="25" t="s">
        <v>1147</v>
      </c>
      <c r="L98" s="25" t="s">
        <v>1148</v>
      </c>
      <c r="M98" s="25" t="s">
        <v>1149</v>
      </c>
      <c r="N98" s="187"/>
      <c r="O98" s="187"/>
      <c r="P98" s="187"/>
      <c r="Q98" s="247"/>
      <c r="R98" s="247"/>
    </row>
    <row r="99" spans="1:18" s="154" customFormat="1" ht="43.5" customHeight="1">
      <c r="A99" s="197"/>
      <c r="B99" s="209" t="s">
        <v>626</v>
      </c>
      <c r="C99" s="8"/>
      <c r="D99" s="77" t="s">
        <v>200</v>
      </c>
      <c r="E99" s="188" t="s">
        <v>28</v>
      </c>
      <c r="F99" s="188" t="s">
        <v>246</v>
      </c>
      <c r="G99" s="188" t="s">
        <v>780</v>
      </c>
      <c r="H99" s="188" t="s">
        <v>644</v>
      </c>
      <c r="I99" s="188" t="s">
        <v>647</v>
      </c>
      <c r="J99" s="188" t="s">
        <v>646</v>
      </c>
      <c r="K99" s="203" t="s">
        <v>698</v>
      </c>
      <c r="L99" s="203" t="s">
        <v>62</v>
      </c>
      <c r="M99" s="218" t="s">
        <v>697</v>
      </c>
      <c r="N99" s="49">
        <v>10</v>
      </c>
      <c r="O99" s="49">
        <v>10</v>
      </c>
      <c r="P99" s="49">
        <v>0</v>
      </c>
      <c r="Q99" s="52">
        <v>0</v>
      </c>
      <c r="R99" s="52">
        <v>0</v>
      </c>
    </row>
    <row r="100" spans="1:18" s="154" customFormat="1" ht="43.5" customHeight="1">
      <c r="A100" s="230"/>
      <c r="B100" s="210"/>
      <c r="C100" s="8"/>
      <c r="D100" s="78" t="s">
        <v>12</v>
      </c>
      <c r="E100" s="189"/>
      <c r="F100" s="189"/>
      <c r="G100" s="189"/>
      <c r="H100" s="189"/>
      <c r="I100" s="189"/>
      <c r="J100" s="189"/>
      <c r="K100" s="204"/>
      <c r="L100" s="204"/>
      <c r="M100" s="219"/>
      <c r="N100" s="54">
        <v>45</v>
      </c>
      <c r="O100" s="54">
        <v>45</v>
      </c>
      <c r="P100" s="54">
        <v>0</v>
      </c>
      <c r="Q100" s="55">
        <v>0</v>
      </c>
      <c r="R100" s="55">
        <v>0</v>
      </c>
    </row>
    <row r="101" spans="1:18" s="154" customFormat="1" ht="82.5" customHeight="1">
      <c r="A101" s="38"/>
      <c r="B101" s="181" t="s">
        <v>633</v>
      </c>
      <c r="C101" s="8"/>
      <c r="D101" s="169" t="s">
        <v>12</v>
      </c>
      <c r="E101" s="17" t="s">
        <v>28</v>
      </c>
      <c r="F101" s="17" t="s">
        <v>246</v>
      </c>
      <c r="G101" s="17" t="s">
        <v>780</v>
      </c>
      <c r="H101" s="3" t="s">
        <v>648</v>
      </c>
      <c r="I101" s="3" t="s">
        <v>649</v>
      </c>
      <c r="J101" s="3" t="s">
        <v>646</v>
      </c>
      <c r="K101" s="25" t="s">
        <v>696</v>
      </c>
      <c r="L101" s="25" t="s">
        <v>62</v>
      </c>
      <c r="M101" s="63" t="s">
        <v>697</v>
      </c>
      <c r="N101" s="140">
        <v>76</v>
      </c>
      <c r="O101" s="140">
        <v>76</v>
      </c>
      <c r="P101" s="47">
        <v>0</v>
      </c>
      <c r="Q101" s="48">
        <v>0</v>
      </c>
      <c r="R101" s="48">
        <v>0</v>
      </c>
    </row>
    <row r="102" spans="1:18" s="154" customFormat="1" ht="135.75" customHeight="1">
      <c r="A102" s="102"/>
      <c r="B102" s="69" t="s">
        <v>663</v>
      </c>
      <c r="C102" s="15"/>
      <c r="D102" s="42" t="s">
        <v>12</v>
      </c>
      <c r="E102" s="17" t="s">
        <v>28</v>
      </c>
      <c r="F102" s="17" t="s">
        <v>246</v>
      </c>
      <c r="G102" s="17" t="s">
        <v>780</v>
      </c>
      <c r="H102" s="18" t="s">
        <v>692</v>
      </c>
      <c r="I102" s="18" t="s">
        <v>62</v>
      </c>
      <c r="J102" s="18" t="s">
        <v>530</v>
      </c>
      <c r="K102" s="26" t="s">
        <v>1217</v>
      </c>
      <c r="L102" s="26" t="s">
        <v>7</v>
      </c>
      <c r="M102" s="26" t="s">
        <v>530</v>
      </c>
      <c r="N102" s="50">
        <v>28</v>
      </c>
      <c r="O102" s="50">
        <v>28</v>
      </c>
      <c r="P102" s="50">
        <v>40</v>
      </c>
      <c r="Q102" s="60">
        <v>0</v>
      </c>
      <c r="R102" s="60">
        <v>0</v>
      </c>
    </row>
    <row r="103" spans="1:18" s="154" customFormat="1" ht="63.75" customHeight="1">
      <c r="A103" s="35"/>
      <c r="B103" s="28" t="s">
        <v>664</v>
      </c>
      <c r="C103" s="8"/>
      <c r="D103" s="40" t="s">
        <v>12</v>
      </c>
      <c r="E103" s="17" t="s">
        <v>28</v>
      </c>
      <c r="F103" s="17" t="s">
        <v>246</v>
      </c>
      <c r="G103" s="17" t="s">
        <v>780</v>
      </c>
      <c r="H103" s="3" t="s">
        <v>695</v>
      </c>
      <c r="I103" s="3" t="s">
        <v>693</v>
      </c>
      <c r="J103" s="3" t="s">
        <v>683</v>
      </c>
      <c r="K103" s="24" t="s">
        <v>694</v>
      </c>
      <c r="L103" s="26" t="s">
        <v>62</v>
      </c>
      <c r="M103" s="61" t="s">
        <v>684</v>
      </c>
      <c r="N103" s="47">
        <v>90</v>
      </c>
      <c r="O103" s="47">
        <v>90</v>
      </c>
      <c r="P103" s="47">
        <v>0</v>
      </c>
      <c r="Q103" s="48">
        <v>0</v>
      </c>
      <c r="R103" s="48">
        <v>0</v>
      </c>
    </row>
    <row r="104" spans="1:18" s="154" customFormat="1" ht="84" customHeight="1">
      <c r="A104" s="35"/>
      <c r="B104" s="27" t="s">
        <v>716</v>
      </c>
      <c r="C104" s="8"/>
      <c r="D104" s="40" t="s">
        <v>12</v>
      </c>
      <c r="E104" s="17" t="s">
        <v>28</v>
      </c>
      <c r="F104" s="17" t="s">
        <v>246</v>
      </c>
      <c r="G104" s="17" t="s">
        <v>780</v>
      </c>
      <c r="H104" s="3" t="s">
        <v>717</v>
      </c>
      <c r="I104" s="3" t="s">
        <v>718</v>
      </c>
      <c r="J104" s="3" t="s">
        <v>719</v>
      </c>
      <c r="K104" s="24" t="s">
        <v>720</v>
      </c>
      <c r="L104" s="25" t="s">
        <v>7</v>
      </c>
      <c r="M104" s="63" t="s">
        <v>721</v>
      </c>
      <c r="N104" s="47">
        <v>73.17</v>
      </c>
      <c r="O104" s="47">
        <f>73170/1000</f>
        <v>73.17</v>
      </c>
      <c r="P104" s="47">
        <v>0</v>
      </c>
      <c r="Q104" s="48">
        <v>0</v>
      </c>
      <c r="R104" s="48">
        <v>0</v>
      </c>
    </row>
    <row r="105" spans="1:18" s="154" customFormat="1" ht="84" customHeight="1">
      <c r="A105" s="35"/>
      <c r="B105" s="27" t="s">
        <v>722</v>
      </c>
      <c r="C105" s="8"/>
      <c r="D105" s="40" t="s">
        <v>12</v>
      </c>
      <c r="E105" s="17" t="s">
        <v>28</v>
      </c>
      <c r="F105" s="17" t="s">
        <v>246</v>
      </c>
      <c r="G105" s="17" t="s">
        <v>780</v>
      </c>
      <c r="H105" s="3" t="s">
        <v>723</v>
      </c>
      <c r="I105" s="3" t="s">
        <v>724</v>
      </c>
      <c r="J105" s="3" t="s">
        <v>725</v>
      </c>
      <c r="K105" s="26" t="s">
        <v>726</v>
      </c>
      <c r="L105" s="25" t="s">
        <v>7</v>
      </c>
      <c r="M105" s="63" t="s">
        <v>727</v>
      </c>
      <c r="N105" s="47">
        <v>22.8</v>
      </c>
      <c r="O105" s="47">
        <v>22.8</v>
      </c>
      <c r="P105" s="47">
        <v>0</v>
      </c>
      <c r="Q105" s="48">
        <v>0</v>
      </c>
      <c r="R105" s="48">
        <v>0</v>
      </c>
    </row>
    <row r="106" spans="1:18" s="154" customFormat="1" ht="86.25" customHeight="1">
      <c r="A106" s="38"/>
      <c r="B106" s="27" t="s">
        <v>750</v>
      </c>
      <c r="C106" s="16"/>
      <c r="D106" s="44" t="s">
        <v>12</v>
      </c>
      <c r="E106" s="19" t="s">
        <v>244</v>
      </c>
      <c r="F106" s="19" t="s">
        <v>245</v>
      </c>
      <c r="G106" s="19" t="s">
        <v>835</v>
      </c>
      <c r="H106" s="19" t="s">
        <v>754</v>
      </c>
      <c r="I106" s="19" t="s">
        <v>755</v>
      </c>
      <c r="J106" s="19" t="s">
        <v>725</v>
      </c>
      <c r="K106" s="26" t="s">
        <v>752</v>
      </c>
      <c r="L106" s="81" t="s">
        <v>7</v>
      </c>
      <c r="M106" s="85" t="s">
        <v>753</v>
      </c>
      <c r="N106" s="54">
        <v>99.63</v>
      </c>
      <c r="O106" s="54">
        <f>99630/1000</f>
        <v>99.63</v>
      </c>
      <c r="P106" s="54">
        <v>0</v>
      </c>
      <c r="Q106" s="55">
        <v>0</v>
      </c>
      <c r="R106" s="55">
        <v>0</v>
      </c>
    </row>
    <row r="107" spans="1:18" s="154" customFormat="1" ht="83.25" customHeight="1">
      <c r="A107" s="35"/>
      <c r="B107" s="27" t="s">
        <v>758</v>
      </c>
      <c r="C107" s="8"/>
      <c r="D107" s="40" t="s">
        <v>200</v>
      </c>
      <c r="E107" s="17" t="s">
        <v>28</v>
      </c>
      <c r="F107" s="17" t="s">
        <v>246</v>
      </c>
      <c r="G107" s="17" t="s">
        <v>780</v>
      </c>
      <c r="H107" s="3" t="s">
        <v>765</v>
      </c>
      <c r="I107" s="3" t="s">
        <v>768</v>
      </c>
      <c r="J107" s="3" t="s">
        <v>767</v>
      </c>
      <c r="K107" s="26" t="s">
        <v>1032</v>
      </c>
      <c r="L107" s="26" t="s">
        <v>103</v>
      </c>
      <c r="M107" s="61" t="s">
        <v>1033</v>
      </c>
      <c r="N107" s="47">
        <v>55</v>
      </c>
      <c r="O107" s="47">
        <v>55</v>
      </c>
      <c r="P107" s="47">
        <v>0</v>
      </c>
      <c r="Q107" s="48">
        <v>0</v>
      </c>
      <c r="R107" s="48">
        <v>0</v>
      </c>
    </row>
    <row r="108" spans="1:18" s="154" customFormat="1" ht="86.25" customHeight="1">
      <c r="A108" s="35"/>
      <c r="B108" s="27" t="s">
        <v>759</v>
      </c>
      <c r="C108" s="8"/>
      <c r="D108" s="40" t="s">
        <v>12</v>
      </c>
      <c r="E108" s="17" t="s">
        <v>28</v>
      </c>
      <c r="F108" s="17" t="s">
        <v>246</v>
      </c>
      <c r="G108" s="17" t="s">
        <v>780</v>
      </c>
      <c r="H108" s="3" t="s">
        <v>765</v>
      </c>
      <c r="I108" s="3" t="s">
        <v>766</v>
      </c>
      <c r="J108" s="3" t="s">
        <v>767</v>
      </c>
      <c r="K108" s="26" t="s">
        <v>1032</v>
      </c>
      <c r="L108" s="26" t="s">
        <v>103</v>
      </c>
      <c r="M108" s="61" t="s">
        <v>1033</v>
      </c>
      <c r="N108" s="47">
        <v>85</v>
      </c>
      <c r="O108" s="47">
        <v>85</v>
      </c>
      <c r="P108" s="47">
        <v>0</v>
      </c>
      <c r="Q108" s="48">
        <v>0</v>
      </c>
      <c r="R108" s="48">
        <v>0</v>
      </c>
    </row>
    <row r="109" spans="1:18" s="154" customFormat="1" ht="94.5" customHeight="1">
      <c r="A109" s="35"/>
      <c r="B109" s="27" t="s">
        <v>1046</v>
      </c>
      <c r="C109" s="8"/>
      <c r="D109" s="40"/>
      <c r="E109" s="17" t="s">
        <v>28</v>
      </c>
      <c r="F109" s="17" t="s">
        <v>246</v>
      </c>
      <c r="G109" s="17" t="s">
        <v>780</v>
      </c>
      <c r="H109" s="110" t="s">
        <v>1000</v>
      </c>
      <c r="I109" s="110" t="s">
        <v>1001</v>
      </c>
      <c r="J109" s="110" t="s">
        <v>1002</v>
      </c>
      <c r="K109" s="24" t="s">
        <v>1047</v>
      </c>
      <c r="L109" s="24" t="s">
        <v>103</v>
      </c>
      <c r="M109" s="62" t="s">
        <v>1048</v>
      </c>
      <c r="N109" s="47">
        <v>175</v>
      </c>
      <c r="O109" s="47">
        <v>175</v>
      </c>
      <c r="P109" s="47">
        <v>0</v>
      </c>
      <c r="Q109" s="48">
        <v>0</v>
      </c>
      <c r="R109" s="48">
        <v>0</v>
      </c>
    </row>
    <row r="110" spans="1:18" s="154" customFormat="1" ht="96.75" customHeight="1">
      <c r="A110" s="35"/>
      <c r="B110" s="27" t="s">
        <v>1069</v>
      </c>
      <c r="C110" s="8"/>
      <c r="D110" s="40" t="s">
        <v>200</v>
      </c>
      <c r="E110" s="17" t="s">
        <v>28</v>
      </c>
      <c r="F110" s="17" t="s">
        <v>246</v>
      </c>
      <c r="G110" s="17" t="s">
        <v>780</v>
      </c>
      <c r="H110" s="110" t="s">
        <v>1000</v>
      </c>
      <c r="I110" s="110" t="s">
        <v>1001</v>
      </c>
      <c r="J110" s="110" t="s">
        <v>1002</v>
      </c>
      <c r="K110" s="24" t="s">
        <v>1083</v>
      </c>
      <c r="L110" s="24" t="s">
        <v>7</v>
      </c>
      <c r="M110" s="62" t="s">
        <v>1084</v>
      </c>
      <c r="N110" s="47">
        <v>50</v>
      </c>
      <c r="O110" s="47">
        <v>50</v>
      </c>
      <c r="P110" s="47">
        <v>0</v>
      </c>
      <c r="Q110" s="48">
        <v>0</v>
      </c>
      <c r="R110" s="48">
        <v>0</v>
      </c>
    </row>
    <row r="111" spans="1:18" s="154" customFormat="1" ht="75" customHeight="1">
      <c r="A111" s="35"/>
      <c r="B111" s="27" t="s">
        <v>1258</v>
      </c>
      <c r="C111" s="8"/>
      <c r="D111" s="40" t="s">
        <v>12</v>
      </c>
      <c r="E111" s="17" t="s">
        <v>28</v>
      </c>
      <c r="F111" s="17" t="s">
        <v>246</v>
      </c>
      <c r="G111" s="17" t="s">
        <v>780</v>
      </c>
      <c r="H111" s="110"/>
      <c r="I111" s="110"/>
      <c r="J111" s="110"/>
      <c r="K111" s="24" t="s">
        <v>518</v>
      </c>
      <c r="L111" s="24"/>
      <c r="M111" s="62"/>
      <c r="N111" s="47">
        <v>0</v>
      </c>
      <c r="O111" s="47">
        <v>0</v>
      </c>
      <c r="P111" s="47">
        <v>178.2</v>
      </c>
      <c r="Q111" s="48">
        <v>0</v>
      </c>
      <c r="R111" s="48">
        <v>0</v>
      </c>
    </row>
    <row r="112" spans="1:18" s="154" customFormat="1" ht="63" customHeight="1">
      <c r="A112" s="35"/>
      <c r="B112" s="27" t="s">
        <v>1259</v>
      </c>
      <c r="C112" s="8"/>
      <c r="D112" s="40" t="s">
        <v>12</v>
      </c>
      <c r="E112" s="17" t="s">
        <v>28</v>
      </c>
      <c r="F112" s="17" t="s">
        <v>246</v>
      </c>
      <c r="G112" s="17" t="s">
        <v>780</v>
      </c>
      <c r="H112" s="110"/>
      <c r="I112" s="110"/>
      <c r="J112" s="110"/>
      <c r="K112" s="24" t="s">
        <v>518</v>
      </c>
      <c r="L112" s="24"/>
      <c r="M112" s="62"/>
      <c r="N112" s="47">
        <v>0</v>
      </c>
      <c r="O112" s="47">
        <v>0</v>
      </c>
      <c r="P112" s="47">
        <v>943</v>
      </c>
      <c r="Q112" s="48">
        <v>0</v>
      </c>
      <c r="R112" s="48">
        <v>0</v>
      </c>
    </row>
    <row r="113" spans="1:18" s="154" customFormat="1" ht="84" customHeight="1">
      <c r="A113" s="35"/>
      <c r="B113" s="27" t="s">
        <v>1070</v>
      </c>
      <c r="C113" s="8"/>
      <c r="D113" s="40" t="s">
        <v>200</v>
      </c>
      <c r="E113" s="17" t="s">
        <v>28</v>
      </c>
      <c r="F113" s="17" t="s">
        <v>246</v>
      </c>
      <c r="G113" s="17" t="s">
        <v>780</v>
      </c>
      <c r="H113" s="3" t="s">
        <v>384</v>
      </c>
      <c r="I113" s="3" t="s">
        <v>443</v>
      </c>
      <c r="J113" s="3" t="s">
        <v>386</v>
      </c>
      <c r="K113" s="24" t="s">
        <v>1081</v>
      </c>
      <c r="L113" s="24" t="s">
        <v>103</v>
      </c>
      <c r="M113" s="62" t="s">
        <v>1082</v>
      </c>
      <c r="N113" s="47">
        <v>623.81</v>
      </c>
      <c r="O113" s="47">
        <f>623.81</f>
        <v>623.81</v>
      </c>
      <c r="P113" s="47">
        <v>0</v>
      </c>
      <c r="Q113" s="48">
        <v>0</v>
      </c>
      <c r="R113" s="48">
        <v>0</v>
      </c>
    </row>
    <row r="114" spans="1:18" s="154" customFormat="1" ht="109.5" customHeight="1">
      <c r="A114" s="35"/>
      <c r="B114" s="28" t="s">
        <v>532</v>
      </c>
      <c r="C114" s="8"/>
      <c r="D114" s="40" t="s">
        <v>12</v>
      </c>
      <c r="E114" s="3" t="s">
        <v>244</v>
      </c>
      <c r="F114" s="3" t="s">
        <v>245</v>
      </c>
      <c r="G114" s="3" t="s">
        <v>835</v>
      </c>
      <c r="H114" s="3" t="s">
        <v>533</v>
      </c>
      <c r="I114" s="3" t="s">
        <v>222</v>
      </c>
      <c r="J114" s="3" t="s">
        <v>534</v>
      </c>
      <c r="K114" s="24" t="s">
        <v>535</v>
      </c>
      <c r="L114" s="24" t="s">
        <v>536</v>
      </c>
      <c r="M114" s="24" t="s">
        <v>537</v>
      </c>
      <c r="N114" s="47">
        <f>18934+5000</f>
        <v>23934</v>
      </c>
      <c r="O114" s="47">
        <f>(18934000+5000000)/1000</f>
        <v>23934</v>
      </c>
      <c r="P114" s="47">
        <v>0</v>
      </c>
      <c r="Q114" s="48">
        <v>0</v>
      </c>
      <c r="R114" s="48">
        <v>0</v>
      </c>
    </row>
    <row r="115" spans="1:18" s="153" customFormat="1" ht="37.5" customHeight="1">
      <c r="A115" s="34" t="s">
        <v>30</v>
      </c>
      <c r="B115" s="227" t="s">
        <v>787</v>
      </c>
      <c r="C115" s="228"/>
      <c r="D115" s="228"/>
      <c r="E115" s="228"/>
      <c r="F115" s="228"/>
      <c r="G115" s="228"/>
      <c r="H115" s="228"/>
      <c r="I115" s="228"/>
      <c r="J115" s="228"/>
      <c r="K115" s="228"/>
      <c r="L115" s="228"/>
      <c r="M115" s="229"/>
      <c r="N115" s="46">
        <f>SUM(N116:N132)</f>
        <v>19135.74031</v>
      </c>
      <c r="O115" s="46">
        <f>SUM(O116:O132)</f>
        <v>7247.62519</v>
      </c>
      <c r="P115" s="46">
        <f>SUM(P116:P134)</f>
        <v>32644.8</v>
      </c>
      <c r="Q115" s="46">
        <f>SUM(Q116:Q134)</f>
        <v>17696.8</v>
      </c>
      <c r="R115" s="46">
        <f>SUM(R116:R134)</f>
        <v>18490.600000000002</v>
      </c>
    </row>
    <row r="116" spans="1:18" s="154" customFormat="1" ht="72" customHeight="1">
      <c r="A116" s="35"/>
      <c r="B116" s="31" t="s">
        <v>371</v>
      </c>
      <c r="C116" s="8"/>
      <c r="D116" s="40" t="s">
        <v>101</v>
      </c>
      <c r="E116" s="3" t="s">
        <v>28</v>
      </c>
      <c r="F116" s="3" t="s">
        <v>836</v>
      </c>
      <c r="G116" s="3" t="s">
        <v>780</v>
      </c>
      <c r="H116" s="3"/>
      <c r="I116" s="3"/>
      <c r="J116" s="3"/>
      <c r="K116" s="3" t="s">
        <v>1211</v>
      </c>
      <c r="L116" s="3" t="s">
        <v>173</v>
      </c>
      <c r="M116" s="6" t="s">
        <v>316</v>
      </c>
      <c r="N116" s="47">
        <v>1061</v>
      </c>
      <c r="O116" s="47">
        <f>1054075.28/1000</f>
        <v>1054.07528</v>
      </c>
      <c r="P116" s="47">
        <v>920</v>
      </c>
      <c r="Q116" s="48">
        <v>0</v>
      </c>
      <c r="R116" s="48">
        <v>0</v>
      </c>
    </row>
    <row r="117" spans="1:18" s="154" customFormat="1" ht="49.5" customHeight="1">
      <c r="A117" s="197"/>
      <c r="B117" s="231" t="s">
        <v>519</v>
      </c>
      <c r="C117" s="8"/>
      <c r="D117" s="199" t="s">
        <v>101</v>
      </c>
      <c r="E117" s="188" t="s">
        <v>28</v>
      </c>
      <c r="F117" s="188" t="s">
        <v>836</v>
      </c>
      <c r="G117" s="188" t="s">
        <v>29</v>
      </c>
      <c r="H117" s="188"/>
      <c r="I117" s="188"/>
      <c r="J117" s="188"/>
      <c r="K117" s="17" t="s">
        <v>540</v>
      </c>
      <c r="L117" s="24" t="s">
        <v>77</v>
      </c>
      <c r="M117" s="62" t="s">
        <v>530</v>
      </c>
      <c r="N117" s="186">
        <v>1843.7054</v>
      </c>
      <c r="O117" s="186">
        <f>1823705.4/1000</f>
        <v>1823.7053999999998</v>
      </c>
      <c r="P117" s="186">
        <f>1809+1416.5</f>
        <v>3225.5</v>
      </c>
      <c r="Q117" s="233">
        <v>2412</v>
      </c>
      <c r="R117" s="233">
        <v>2462.1</v>
      </c>
    </row>
    <row r="118" spans="1:18" s="154" customFormat="1" ht="37.5" customHeight="1">
      <c r="A118" s="198"/>
      <c r="B118" s="232"/>
      <c r="C118" s="8"/>
      <c r="D118" s="200"/>
      <c r="E118" s="202"/>
      <c r="F118" s="202"/>
      <c r="G118" s="202"/>
      <c r="H118" s="202"/>
      <c r="I118" s="202"/>
      <c r="J118" s="202"/>
      <c r="K118" s="81" t="s">
        <v>541</v>
      </c>
      <c r="L118" s="81" t="s">
        <v>222</v>
      </c>
      <c r="M118" s="85" t="s">
        <v>466</v>
      </c>
      <c r="N118" s="235"/>
      <c r="O118" s="235"/>
      <c r="P118" s="235"/>
      <c r="Q118" s="234"/>
      <c r="R118" s="234"/>
    </row>
    <row r="119" spans="1:18" s="154" customFormat="1" ht="58.5" customHeight="1">
      <c r="A119" s="198"/>
      <c r="B119" s="232"/>
      <c r="C119" s="201"/>
      <c r="D119" s="200"/>
      <c r="E119" s="18" t="s">
        <v>214</v>
      </c>
      <c r="F119" s="18" t="s">
        <v>215</v>
      </c>
      <c r="G119" s="18" t="s">
        <v>217</v>
      </c>
      <c r="H119" s="202" t="s">
        <v>241</v>
      </c>
      <c r="I119" s="202" t="s">
        <v>105</v>
      </c>
      <c r="J119" s="202" t="s">
        <v>174</v>
      </c>
      <c r="K119" s="202" t="s">
        <v>680</v>
      </c>
      <c r="L119" s="202" t="s">
        <v>213</v>
      </c>
      <c r="M119" s="202" t="s">
        <v>27</v>
      </c>
      <c r="N119" s="235"/>
      <c r="O119" s="50"/>
      <c r="P119" s="235"/>
      <c r="Q119" s="234"/>
      <c r="R119" s="234"/>
    </row>
    <row r="120" spans="1:18" s="154" customFormat="1" ht="121.5" customHeight="1">
      <c r="A120" s="230"/>
      <c r="B120" s="246"/>
      <c r="C120" s="201"/>
      <c r="D120" s="239"/>
      <c r="E120" s="19" t="s">
        <v>35</v>
      </c>
      <c r="F120" s="19" t="s">
        <v>216</v>
      </c>
      <c r="G120" s="19" t="s">
        <v>104</v>
      </c>
      <c r="H120" s="189"/>
      <c r="I120" s="189"/>
      <c r="J120" s="189"/>
      <c r="K120" s="189"/>
      <c r="L120" s="189"/>
      <c r="M120" s="189"/>
      <c r="N120" s="187"/>
      <c r="O120" s="54"/>
      <c r="P120" s="187"/>
      <c r="Q120" s="247"/>
      <c r="R120" s="247"/>
    </row>
    <row r="121" spans="1:18" s="154" customFormat="1" ht="61.5" customHeight="1">
      <c r="A121" s="35"/>
      <c r="B121" s="7" t="s">
        <v>520</v>
      </c>
      <c r="C121" s="8"/>
      <c r="D121" s="40" t="s">
        <v>101</v>
      </c>
      <c r="E121" s="3" t="s">
        <v>28</v>
      </c>
      <c r="F121" s="3" t="s">
        <v>836</v>
      </c>
      <c r="G121" s="3" t="s">
        <v>780</v>
      </c>
      <c r="H121" s="3"/>
      <c r="I121" s="3"/>
      <c r="J121" s="3"/>
      <c r="K121" s="3" t="s">
        <v>528</v>
      </c>
      <c r="L121" s="3" t="s">
        <v>529</v>
      </c>
      <c r="M121" s="6" t="s">
        <v>1278</v>
      </c>
      <c r="N121" s="47">
        <v>165.4</v>
      </c>
      <c r="O121" s="47">
        <v>165.4</v>
      </c>
      <c r="P121" s="47">
        <v>214.5</v>
      </c>
      <c r="Q121" s="48">
        <v>225.7</v>
      </c>
      <c r="R121" s="48">
        <v>236.8</v>
      </c>
    </row>
    <row r="122" spans="1:18" s="154" customFormat="1" ht="63" customHeight="1">
      <c r="A122" s="35"/>
      <c r="B122" s="7" t="s">
        <v>521</v>
      </c>
      <c r="C122" s="8"/>
      <c r="D122" s="40" t="s">
        <v>101</v>
      </c>
      <c r="E122" s="3" t="s">
        <v>28</v>
      </c>
      <c r="F122" s="3" t="s">
        <v>836</v>
      </c>
      <c r="G122" s="3" t="s">
        <v>780</v>
      </c>
      <c r="H122" s="3"/>
      <c r="I122" s="3"/>
      <c r="J122" s="3"/>
      <c r="K122" s="81" t="s">
        <v>538</v>
      </c>
      <c r="L122" s="81" t="s">
        <v>77</v>
      </c>
      <c r="M122" s="85" t="s">
        <v>525</v>
      </c>
      <c r="N122" s="47">
        <v>1043</v>
      </c>
      <c r="O122" s="47">
        <v>1043</v>
      </c>
      <c r="P122" s="47">
        <v>0</v>
      </c>
      <c r="Q122" s="48">
        <v>0</v>
      </c>
      <c r="R122" s="48">
        <v>0</v>
      </c>
    </row>
    <row r="123" spans="1:18" s="154" customFormat="1" ht="61.5" customHeight="1">
      <c r="A123" s="35"/>
      <c r="B123" s="7" t="s">
        <v>276</v>
      </c>
      <c r="C123" s="8"/>
      <c r="D123" s="40" t="s">
        <v>101</v>
      </c>
      <c r="E123" s="17" t="s">
        <v>28</v>
      </c>
      <c r="F123" s="3" t="s">
        <v>836</v>
      </c>
      <c r="G123" s="3" t="s">
        <v>780</v>
      </c>
      <c r="H123" s="3"/>
      <c r="I123" s="3"/>
      <c r="J123" s="3"/>
      <c r="K123" s="3" t="s">
        <v>315</v>
      </c>
      <c r="L123" s="3" t="s">
        <v>173</v>
      </c>
      <c r="M123" s="6" t="s">
        <v>316</v>
      </c>
      <c r="N123" s="47">
        <v>84.42419</v>
      </c>
      <c r="O123" s="47">
        <f>80596.23/1000</f>
        <v>80.59622999999999</v>
      </c>
      <c r="P123" s="47">
        <v>96</v>
      </c>
      <c r="Q123" s="48">
        <v>0</v>
      </c>
      <c r="R123" s="48">
        <v>0</v>
      </c>
    </row>
    <row r="124" spans="1:18" s="154" customFormat="1" ht="83.25" customHeight="1">
      <c r="A124" s="36"/>
      <c r="B124" s="21" t="s">
        <v>488</v>
      </c>
      <c r="C124" s="15"/>
      <c r="D124" s="41" t="s">
        <v>1184</v>
      </c>
      <c r="E124" s="17" t="s">
        <v>28</v>
      </c>
      <c r="F124" s="17" t="s">
        <v>836</v>
      </c>
      <c r="G124" s="17" t="s">
        <v>780</v>
      </c>
      <c r="H124" s="17"/>
      <c r="I124" s="17"/>
      <c r="J124" s="17"/>
      <c r="K124" s="17" t="s">
        <v>539</v>
      </c>
      <c r="L124" s="17" t="s">
        <v>222</v>
      </c>
      <c r="M124" s="74" t="s">
        <v>530</v>
      </c>
      <c r="N124" s="49">
        <v>1966</v>
      </c>
      <c r="O124" s="49">
        <f>1965998.56/1000</f>
        <v>1965.99856</v>
      </c>
      <c r="P124" s="49">
        <f>10440+2000</f>
        <v>12440</v>
      </c>
      <c r="Q124" s="49">
        <v>15059.1</v>
      </c>
      <c r="R124" s="49">
        <v>15791.7</v>
      </c>
    </row>
    <row r="125" spans="1:18" s="154" customFormat="1" ht="42" customHeight="1">
      <c r="A125" s="267"/>
      <c r="B125" s="268" t="s">
        <v>542</v>
      </c>
      <c r="C125" s="8"/>
      <c r="D125" s="41" t="s">
        <v>101</v>
      </c>
      <c r="E125" s="188" t="s">
        <v>28</v>
      </c>
      <c r="F125" s="188" t="s">
        <v>836</v>
      </c>
      <c r="G125" s="188" t="s">
        <v>780</v>
      </c>
      <c r="H125" s="188"/>
      <c r="I125" s="188"/>
      <c r="J125" s="188"/>
      <c r="K125" s="203" t="s">
        <v>543</v>
      </c>
      <c r="L125" s="203" t="s">
        <v>77</v>
      </c>
      <c r="M125" s="218" t="s">
        <v>530</v>
      </c>
      <c r="N125" s="49">
        <f>40+1003.4+43</f>
        <v>1086.4</v>
      </c>
      <c r="O125" s="49">
        <f>(40000+140039+43000)/1000</f>
        <v>223.039</v>
      </c>
      <c r="P125" s="49">
        <v>0</v>
      </c>
      <c r="Q125" s="49">
        <v>0</v>
      </c>
      <c r="R125" s="49">
        <v>0</v>
      </c>
    </row>
    <row r="126" spans="1:18" s="154" customFormat="1" ht="42" customHeight="1">
      <c r="A126" s="267"/>
      <c r="B126" s="268"/>
      <c r="C126" s="8"/>
      <c r="D126" s="44" t="s">
        <v>133</v>
      </c>
      <c r="E126" s="189"/>
      <c r="F126" s="189"/>
      <c r="G126" s="189"/>
      <c r="H126" s="189"/>
      <c r="I126" s="189"/>
      <c r="J126" s="189"/>
      <c r="K126" s="204"/>
      <c r="L126" s="204"/>
      <c r="M126" s="219"/>
      <c r="N126" s="54">
        <v>32.14172</v>
      </c>
      <c r="O126" s="54">
        <f>32141.72/1000</f>
        <v>32.14172</v>
      </c>
      <c r="P126" s="54">
        <v>0</v>
      </c>
      <c r="Q126" s="54">
        <v>0</v>
      </c>
      <c r="R126" s="54">
        <v>0</v>
      </c>
    </row>
    <row r="127" spans="1:18" s="154" customFormat="1" ht="76.5" customHeight="1">
      <c r="A127" s="35"/>
      <c r="B127" s="7" t="s">
        <v>1022</v>
      </c>
      <c r="C127" s="8"/>
      <c r="D127" s="44" t="s">
        <v>101</v>
      </c>
      <c r="E127" s="19" t="s">
        <v>28</v>
      </c>
      <c r="F127" s="19" t="s">
        <v>836</v>
      </c>
      <c r="G127" s="19" t="s">
        <v>780</v>
      </c>
      <c r="H127" s="19" t="s">
        <v>1086</v>
      </c>
      <c r="I127" s="19" t="s">
        <v>222</v>
      </c>
      <c r="J127" s="19" t="s">
        <v>1087</v>
      </c>
      <c r="K127" s="25" t="s">
        <v>1253</v>
      </c>
      <c r="L127" s="25" t="s">
        <v>77</v>
      </c>
      <c r="M127" s="63" t="s">
        <v>1254</v>
      </c>
      <c r="N127" s="54">
        <v>11504</v>
      </c>
      <c r="O127" s="54">
        <f>510</f>
        <v>510</v>
      </c>
      <c r="P127" s="54">
        <v>10994</v>
      </c>
      <c r="Q127" s="54">
        <v>0</v>
      </c>
      <c r="R127" s="54">
        <v>0</v>
      </c>
    </row>
    <row r="128" spans="1:18" s="154" customFormat="1" ht="82.5" customHeight="1">
      <c r="A128" s="35"/>
      <c r="B128" s="28" t="s">
        <v>665</v>
      </c>
      <c r="C128" s="8"/>
      <c r="D128" s="40" t="s">
        <v>133</v>
      </c>
      <c r="E128" s="19" t="s">
        <v>28</v>
      </c>
      <c r="F128" s="19" t="s">
        <v>836</v>
      </c>
      <c r="G128" s="19" t="s">
        <v>780</v>
      </c>
      <c r="H128" s="3" t="s">
        <v>695</v>
      </c>
      <c r="I128" s="3" t="s">
        <v>699</v>
      </c>
      <c r="J128" s="3" t="s">
        <v>683</v>
      </c>
      <c r="K128" s="25" t="s">
        <v>700</v>
      </c>
      <c r="L128" s="25" t="s">
        <v>7</v>
      </c>
      <c r="M128" s="63" t="s">
        <v>701</v>
      </c>
      <c r="N128" s="47">
        <v>25</v>
      </c>
      <c r="O128" s="47">
        <v>25</v>
      </c>
      <c r="P128" s="47">
        <v>0</v>
      </c>
      <c r="Q128" s="47">
        <v>0</v>
      </c>
      <c r="R128" s="47">
        <v>0</v>
      </c>
    </row>
    <row r="129" spans="1:18" s="154" customFormat="1" ht="84" customHeight="1">
      <c r="A129" s="35"/>
      <c r="B129" s="87" t="s">
        <v>728</v>
      </c>
      <c r="C129" s="8"/>
      <c r="D129" s="40" t="s">
        <v>101</v>
      </c>
      <c r="E129" s="19" t="s">
        <v>28</v>
      </c>
      <c r="F129" s="19" t="s">
        <v>836</v>
      </c>
      <c r="G129" s="19" t="s">
        <v>780</v>
      </c>
      <c r="H129" s="3" t="s">
        <v>723</v>
      </c>
      <c r="I129" s="3" t="s">
        <v>729</v>
      </c>
      <c r="J129" s="3" t="s">
        <v>725</v>
      </c>
      <c r="K129" s="25" t="s">
        <v>730</v>
      </c>
      <c r="L129" s="25" t="s">
        <v>62</v>
      </c>
      <c r="M129" s="63" t="s">
        <v>731</v>
      </c>
      <c r="N129" s="47">
        <v>92.796</v>
      </c>
      <c r="O129" s="47">
        <f>92796/1000</f>
        <v>92.796</v>
      </c>
      <c r="P129" s="47">
        <v>0</v>
      </c>
      <c r="Q129" s="47">
        <v>0</v>
      </c>
      <c r="R129" s="47">
        <v>0</v>
      </c>
    </row>
    <row r="130" spans="1:18" s="154" customFormat="1" ht="84" customHeight="1">
      <c r="A130" s="35"/>
      <c r="B130" s="28" t="s">
        <v>751</v>
      </c>
      <c r="C130" s="8"/>
      <c r="D130" s="40" t="s">
        <v>101</v>
      </c>
      <c r="E130" s="19" t="s">
        <v>28</v>
      </c>
      <c r="F130" s="19" t="s">
        <v>836</v>
      </c>
      <c r="G130" s="19" t="s">
        <v>780</v>
      </c>
      <c r="H130" s="3" t="s">
        <v>754</v>
      </c>
      <c r="I130" s="3" t="s">
        <v>763</v>
      </c>
      <c r="J130" s="3" t="s">
        <v>764</v>
      </c>
      <c r="K130" s="25" t="s">
        <v>771</v>
      </c>
      <c r="L130" s="25" t="s">
        <v>62</v>
      </c>
      <c r="M130" s="63" t="s">
        <v>772</v>
      </c>
      <c r="N130" s="47">
        <v>38.613</v>
      </c>
      <c r="O130" s="47">
        <f>38613/1000</f>
        <v>38.613</v>
      </c>
      <c r="P130" s="47">
        <v>0</v>
      </c>
      <c r="Q130" s="47">
        <v>0</v>
      </c>
      <c r="R130" s="47">
        <v>0</v>
      </c>
    </row>
    <row r="131" spans="1:18" s="154" customFormat="1" ht="95.25" customHeight="1">
      <c r="A131" s="35"/>
      <c r="B131" s="28" t="s">
        <v>1021</v>
      </c>
      <c r="C131" s="8"/>
      <c r="D131" s="40" t="s">
        <v>101</v>
      </c>
      <c r="E131" s="19" t="s">
        <v>28</v>
      </c>
      <c r="F131" s="19" t="s">
        <v>836</v>
      </c>
      <c r="G131" s="19" t="s">
        <v>780</v>
      </c>
      <c r="H131" s="110" t="s">
        <v>1000</v>
      </c>
      <c r="I131" s="110" t="s">
        <v>1001</v>
      </c>
      <c r="J131" s="110" t="s">
        <v>1002</v>
      </c>
      <c r="K131" s="25" t="s">
        <v>1080</v>
      </c>
      <c r="L131" s="25" t="s">
        <v>77</v>
      </c>
      <c r="M131" s="63" t="s">
        <v>1039</v>
      </c>
      <c r="N131" s="47">
        <v>93.29</v>
      </c>
      <c r="O131" s="47">
        <f>93290/1000</f>
        <v>93.29</v>
      </c>
      <c r="P131" s="47">
        <v>0</v>
      </c>
      <c r="Q131" s="47">
        <v>0</v>
      </c>
      <c r="R131" s="47">
        <v>0</v>
      </c>
    </row>
    <row r="132" spans="1:18" s="154" customFormat="1" ht="84" customHeight="1">
      <c r="A132" s="35"/>
      <c r="B132" s="7" t="s">
        <v>636</v>
      </c>
      <c r="C132" s="8"/>
      <c r="D132" s="40" t="s">
        <v>101</v>
      </c>
      <c r="E132" s="19" t="s">
        <v>28</v>
      </c>
      <c r="F132" s="19" t="s">
        <v>836</v>
      </c>
      <c r="G132" s="19" t="s">
        <v>780</v>
      </c>
      <c r="H132" s="3" t="s">
        <v>644</v>
      </c>
      <c r="I132" s="3" t="s">
        <v>645</v>
      </c>
      <c r="J132" s="3" t="s">
        <v>646</v>
      </c>
      <c r="K132" s="26" t="s">
        <v>634</v>
      </c>
      <c r="L132" s="26" t="s">
        <v>62</v>
      </c>
      <c r="M132" s="61" t="s">
        <v>635</v>
      </c>
      <c r="N132" s="47">
        <v>99.97</v>
      </c>
      <c r="O132" s="47">
        <f>99970/1000</f>
        <v>99.97</v>
      </c>
      <c r="P132" s="47">
        <v>0</v>
      </c>
      <c r="Q132" s="47">
        <v>0</v>
      </c>
      <c r="R132" s="47">
        <v>0</v>
      </c>
    </row>
    <row r="133" spans="1:18" s="154" customFormat="1" ht="65.25" customHeight="1">
      <c r="A133" s="35"/>
      <c r="B133" s="7" t="s">
        <v>1266</v>
      </c>
      <c r="C133" s="8"/>
      <c r="D133" s="40" t="s">
        <v>232</v>
      </c>
      <c r="E133" s="19" t="s">
        <v>28</v>
      </c>
      <c r="F133" s="19" t="s">
        <v>836</v>
      </c>
      <c r="G133" s="19" t="s">
        <v>780</v>
      </c>
      <c r="H133" s="3"/>
      <c r="I133" s="3"/>
      <c r="J133" s="3"/>
      <c r="K133" s="3"/>
      <c r="L133" s="3"/>
      <c r="M133" s="61"/>
      <c r="N133" s="47"/>
      <c r="O133" s="47"/>
      <c r="P133" s="47">
        <v>4655</v>
      </c>
      <c r="Q133" s="47">
        <v>0</v>
      </c>
      <c r="R133" s="47">
        <v>0</v>
      </c>
    </row>
    <row r="134" spans="1:18" s="154" customFormat="1" ht="96.75" customHeight="1">
      <c r="A134" s="35"/>
      <c r="B134" s="7" t="s">
        <v>1265</v>
      </c>
      <c r="C134" s="8"/>
      <c r="D134" s="40" t="s">
        <v>133</v>
      </c>
      <c r="E134" s="19" t="s">
        <v>28</v>
      </c>
      <c r="F134" s="19" t="s">
        <v>836</v>
      </c>
      <c r="G134" s="19" t="s">
        <v>780</v>
      </c>
      <c r="H134" s="110" t="s">
        <v>1000</v>
      </c>
      <c r="I134" s="110" t="s">
        <v>1001</v>
      </c>
      <c r="J134" s="110" t="s">
        <v>1002</v>
      </c>
      <c r="K134" s="26" t="s">
        <v>518</v>
      </c>
      <c r="L134" s="26"/>
      <c r="M134" s="61"/>
      <c r="N134" s="47"/>
      <c r="O134" s="47"/>
      <c r="P134" s="47">
        <v>99.8</v>
      </c>
      <c r="Q134" s="47">
        <v>0</v>
      </c>
      <c r="R134" s="47">
        <v>0</v>
      </c>
    </row>
    <row r="135" spans="1:18" s="153" customFormat="1" ht="12.75" customHeight="1">
      <c r="A135" s="34" t="s">
        <v>262</v>
      </c>
      <c r="B135" s="270" t="s">
        <v>194</v>
      </c>
      <c r="C135" s="271"/>
      <c r="D135" s="271"/>
      <c r="E135" s="271"/>
      <c r="F135" s="271"/>
      <c r="G135" s="271"/>
      <c r="H135" s="271"/>
      <c r="I135" s="271"/>
      <c r="J135" s="271"/>
      <c r="K135" s="271"/>
      <c r="L135" s="271"/>
      <c r="M135" s="272"/>
      <c r="N135" s="46">
        <f>SUM(N136:N136)</f>
        <v>1568.346</v>
      </c>
      <c r="O135" s="46">
        <f>SUM(O136:O136)</f>
        <v>1533.869</v>
      </c>
      <c r="P135" s="46">
        <f>SUM(P136:P136)</f>
        <v>2010</v>
      </c>
      <c r="Q135" s="46">
        <f>SUM(Q136:Q136)</f>
        <v>2114.5</v>
      </c>
      <c r="R135" s="46">
        <f>SUM(R136:R136)</f>
        <v>2218.1</v>
      </c>
    </row>
    <row r="136" spans="1:18" s="154" customFormat="1" ht="71.25" customHeight="1">
      <c r="A136" s="35"/>
      <c r="B136" s="7" t="s">
        <v>10</v>
      </c>
      <c r="C136" s="8"/>
      <c r="D136" s="40" t="s">
        <v>11</v>
      </c>
      <c r="E136" s="3" t="s">
        <v>28</v>
      </c>
      <c r="F136" s="3" t="s">
        <v>837</v>
      </c>
      <c r="G136" s="3" t="s">
        <v>780</v>
      </c>
      <c r="H136" s="3"/>
      <c r="I136" s="3"/>
      <c r="J136" s="3"/>
      <c r="K136" s="3" t="s">
        <v>166</v>
      </c>
      <c r="L136" s="3" t="s">
        <v>32</v>
      </c>
      <c r="M136" s="3" t="s">
        <v>140</v>
      </c>
      <c r="N136" s="47">
        <v>1568.346</v>
      </c>
      <c r="O136" s="47">
        <f>1533869/1000</f>
        <v>1533.869</v>
      </c>
      <c r="P136" s="47">
        <v>2010</v>
      </c>
      <c r="Q136" s="48">
        <v>2114.5</v>
      </c>
      <c r="R136" s="48">
        <v>2218.1</v>
      </c>
    </row>
    <row r="137" spans="1:18" s="155" customFormat="1" ht="38.25" customHeight="1">
      <c r="A137" s="34" t="s">
        <v>115</v>
      </c>
      <c r="B137" s="227" t="s">
        <v>1099</v>
      </c>
      <c r="C137" s="228"/>
      <c r="D137" s="228"/>
      <c r="E137" s="228"/>
      <c r="F137" s="228"/>
      <c r="G137" s="228"/>
      <c r="H137" s="228"/>
      <c r="I137" s="228"/>
      <c r="J137" s="228"/>
      <c r="K137" s="228"/>
      <c r="L137" s="228"/>
      <c r="M137" s="229"/>
      <c r="N137" s="46"/>
      <c r="O137" s="46"/>
      <c r="P137" s="46"/>
      <c r="Q137" s="46"/>
      <c r="R137" s="46"/>
    </row>
    <row r="138" spans="1:18" s="153" customFormat="1" ht="24.75" customHeight="1">
      <c r="A138" s="34" t="s">
        <v>55</v>
      </c>
      <c r="B138" s="227" t="s">
        <v>1100</v>
      </c>
      <c r="C138" s="228"/>
      <c r="D138" s="228"/>
      <c r="E138" s="228"/>
      <c r="F138" s="228"/>
      <c r="G138" s="228"/>
      <c r="H138" s="228"/>
      <c r="I138" s="228"/>
      <c r="J138" s="228"/>
      <c r="K138" s="228"/>
      <c r="L138" s="228"/>
      <c r="M138" s="229"/>
      <c r="N138" s="47"/>
      <c r="O138" s="47"/>
      <c r="P138" s="53"/>
      <c r="Q138" s="66"/>
      <c r="R138" s="66"/>
    </row>
    <row r="139" spans="1:18" s="153" customFormat="1" ht="12.75" customHeight="1">
      <c r="A139" s="34" t="s">
        <v>40</v>
      </c>
      <c r="B139" s="227" t="s">
        <v>86</v>
      </c>
      <c r="C139" s="228"/>
      <c r="D139" s="228"/>
      <c r="E139" s="228"/>
      <c r="F139" s="228"/>
      <c r="G139" s="228"/>
      <c r="H139" s="228"/>
      <c r="I139" s="228"/>
      <c r="J139" s="228"/>
      <c r="K139" s="228"/>
      <c r="L139" s="228"/>
      <c r="M139" s="229"/>
      <c r="N139" s="46">
        <f>SUM(N140:N142)</f>
        <v>2235.6</v>
      </c>
      <c r="O139" s="46">
        <f>SUM(O140:O142)</f>
        <v>2229.28</v>
      </c>
      <c r="P139" s="46">
        <f>SUM(P140:P142)</f>
        <v>2621</v>
      </c>
      <c r="Q139" s="46">
        <f>SUM(Q140:Q142)</f>
        <v>2686.5</v>
      </c>
      <c r="R139" s="46">
        <f>SUM(R140:R142)</f>
        <v>2751.5</v>
      </c>
    </row>
    <row r="140" spans="1:18" s="154" customFormat="1" ht="59.25" customHeight="1">
      <c r="A140" s="197"/>
      <c r="B140" s="231" t="s">
        <v>469</v>
      </c>
      <c r="C140" s="8"/>
      <c r="D140" s="41" t="s">
        <v>278</v>
      </c>
      <c r="E140" s="17" t="s">
        <v>28</v>
      </c>
      <c r="F140" s="17" t="s">
        <v>838</v>
      </c>
      <c r="G140" s="17" t="s">
        <v>780</v>
      </c>
      <c r="H140" s="17"/>
      <c r="I140" s="17"/>
      <c r="J140" s="17"/>
      <c r="K140" s="17" t="s">
        <v>259</v>
      </c>
      <c r="L140" s="17" t="s">
        <v>242</v>
      </c>
      <c r="M140" s="17" t="s">
        <v>27</v>
      </c>
      <c r="N140" s="49">
        <v>2235.6</v>
      </c>
      <c r="O140" s="49">
        <f>2229280/1000</f>
        <v>2229.28</v>
      </c>
      <c r="P140" s="49">
        <f>2526+95</f>
        <v>2621</v>
      </c>
      <c r="Q140" s="52">
        <v>2686.5</v>
      </c>
      <c r="R140" s="52">
        <v>2751.5</v>
      </c>
    </row>
    <row r="141" spans="1:18" s="154" customFormat="1" ht="69" customHeight="1">
      <c r="A141" s="198"/>
      <c r="B141" s="232"/>
      <c r="C141" s="201"/>
      <c r="D141" s="200"/>
      <c r="E141" s="18" t="s">
        <v>214</v>
      </c>
      <c r="F141" s="18" t="s">
        <v>800</v>
      </c>
      <c r="G141" s="18" t="s">
        <v>217</v>
      </c>
      <c r="H141" s="202" t="s">
        <v>241</v>
      </c>
      <c r="I141" s="202" t="s">
        <v>105</v>
      </c>
      <c r="J141" s="202" t="s">
        <v>174</v>
      </c>
      <c r="K141" s="202" t="s">
        <v>511</v>
      </c>
      <c r="L141" s="202" t="s">
        <v>213</v>
      </c>
      <c r="M141" s="202" t="s">
        <v>27</v>
      </c>
      <c r="N141" s="235"/>
      <c r="O141" s="50"/>
      <c r="P141" s="235"/>
      <c r="Q141" s="234"/>
      <c r="R141" s="234"/>
    </row>
    <row r="142" spans="1:18" s="154" customFormat="1" ht="111" customHeight="1">
      <c r="A142" s="230"/>
      <c r="B142" s="246"/>
      <c r="C142" s="201"/>
      <c r="D142" s="239"/>
      <c r="E142" s="19" t="s">
        <v>35</v>
      </c>
      <c r="F142" s="19" t="s">
        <v>216</v>
      </c>
      <c r="G142" s="19" t="s">
        <v>104</v>
      </c>
      <c r="H142" s="189"/>
      <c r="I142" s="189"/>
      <c r="J142" s="189"/>
      <c r="K142" s="189"/>
      <c r="L142" s="189"/>
      <c r="M142" s="189"/>
      <c r="N142" s="187"/>
      <c r="O142" s="54"/>
      <c r="P142" s="187"/>
      <c r="Q142" s="247"/>
      <c r="R142" s="247"/>
    </row>
    <row r="143" spans="1:18" s="153" customFormat="1" ht="12.75" customHeight="1">
      <c r="A143" s="34" t="s">
        <v>117</v>
      </c>
      <c r="B143" s="227" t="s">
        <v>170</v>
      </c>
      <c r="C143" s="228"/>
      <c r="D143" s="228"/>
      <c r="E143" s="228"/>
      <c r="F143" s="228"/>
      <c r="G143" s="228"/>
      <c r="H143" s="228"/>
      <c r="I143" s="228"/>
      <c r="J143" s="228"/>
      <c r="K143" s="228"/>
      <c r="L143" s="228"/>
      <c r="M143" s="229"/>
      <c r="N143" s="47"/>
      <c r="O143" s="47"/>
      <c r="P143" s="53"/>
      <c r="Q143" s="66"/>
      <c r="R143" s="66"/>
    </row>
    <row r="144" spans="1:18" s="153" customFormat="1" ht="12.75" customHeight="1">
      <c r="A144" s="34" t="s">
        <v>51</v>
      </c>
      <c r="B144" s="227" t="s">
        <v>52</v>
      </c>
      <c r="C144" s="228"/>
      <c r="D144" s="228"/>
      <c r="E144" s="228"/>
      <c r="F144" s="228"/>
      <c r="G144" s="228"/>
      <c r="H144" s="228"/>
      <c r="I144" s="228"/>
      <c r="J144" s="228"/>
      <c r="K144" s="228"/>
      <c r="L144" s="228"/>
      <c r="M144" s="229"/>
      <c r="N144" s="46">
        <f>SUM(N145:N147)</f>
        <v>3414</v>
      </c>
      <c r="O144" s="46">
        <f>SUM(O145:O147)</f>
        <v>3378.432</v>
      </c>
      <c r="P144" s="46">
        <f>SUM(P145:P147)</f>
        <v>777.895</v>
      </c>
      <c r="Q144" s="46">
        <f>SUM(Q145:Q147)</f>
        <v>858.4</v>
      </c>
      <c r="R144" s="46">
        <f>SUM(R145:R147)</f>
        <v>858.4</v>
      </c>
    </row>
    <row r="145" spans="1:18" s="153" customFormat="1" ht="71.25" customHeight="1">
      <c r="A145" s="35"/>
      <c r="B145" s="7" t="s">
        <v>233</v>
      </c>
      <c r="C145" s="8"/>
      <c r="D145" s="199" t="s">
        <v>201</v>
      </c>
      <c r="E145" s="188" t="s">
        <v>28</v>
      </c>
      <c r="F145" s="188" t="s">
        <v>839</v>
      </c>
      <c r="G145" s="188" t="s">
        <v>780</v>
      </c>
      <c r="H145" s="188"/>
      <c r="I145" s="188"/>
      <c r="J145" s="188"/>
      <c r="K145" s="17" t="s">
        <v>1279</v>
      </c>
      <c r="L145" s="17" t="s">
        <v>1141</v>
      </c>
      <c r="M145" s="17" t="s">
        <v>1149</v>
      </c>
      <c r="N145" s="47">
        <v>1494</v>
      </c>
      <c r="O145" s="47">
        <f>1458432/1000</f>
        <v>1458.432</v>
      </c>
      <c r="P145" s="47">
        <v>0</v>
      </c>
      <c r="Q145" s="48">
        <v>0</v>
      </c>
      <c r="R145" s="48">
        <v>0</v>
      </c>
    </row>
    <row r="146" spans="1:18" s="153" customFormat="1" ht="71.25" customHeight="1">
      <c r="A146" s="35"/>
      <c r="B146" s="7" t="s">
        <v>1024</v>
      </c>
      <c r="C146" s="8"/>
      <c r="D146" s="200"/>
      <c r="E146" s="202"/>
      <c r="F146" s="202"/>
      <c r="G146" s="202"/>
      <c r="H146" s="202"/>
      <c r="I146" s="202"/>
      <c r="J146" s="202"/>
      <c r="K146" s="18" t="s">
        <v>1153</v>
      </c>
      <c r="L146" s="18" t="s">
        <v>1141</v>
      </c>
      <c r="M146" s="18" t="s">
        <v>1246</v>
      </c>
      <c r="N146" s="47">
        <v>0</v>
      </c>
      <c r="O146" s="47">
        <v>0</v>
      </c>
      <c r="P146" s="47">
        <v>777.895</v>
      </c>
      <c r="Q146" s="48">
        <v>858.4</v>
      </c>
      <c r="R146" s="48">
        <v>858.4</v>
      </c>
    </row>
    <row r="147" spans="1:18" s="153" customFormat="1" ht="47.25" customHeight="1">
      <c r="A147" s="35"/>
      <c r="B147" s="28" t="s">
        <v>666</v>
      </c>
      <c r="C147" s="8"/>
      <c r="D147" s="239"/>
      <c r="E147" s="189"/>
      <c r="F147" s="189"/>
      <c r="G147" s="189"/>
      <c r="H147" s="189"/>
      <c r="I147" s="189"/>
      <c r="J147" s="189"/>
      <c r="K147" s="150"/>
      <c r="L147" s="150"/>
      <c r="M147" s="150"/>
      <c r="N147" s="47">
        <v>1920</v>
      </c>
      <c r="O147" s="47">
        <v>1920</v>
      </c>
      <c r="P147" s="47">
        <v>0</v>
      </c>
      <c r="Q147" s="48">
        <v>0</v>
      </c>
      <c r="R147" s="48">
        <v>0</v>
      </c>
    </row>
    <row r="148" spans="1:18" s="153" customFormat="1" ht="13.5" customHeight="1">
      <c r="A148" s="34" t="s">
        <v>123</v>
      </c>
      <c r="B148" s="227" t="s">
        <v>84</v>
      </c>
      <c r="C148" s="228"/>
      <c r="D148" s="228"/>
      <c r="E148" s="228"/>
      <c r="F148" s="228"/>
      <c r="G148" s="228"/>
      <c r="H148" s="228"/>
      <c r="I148" s="228"/>
      <c r="J148" s="228"/>
      <c r="K148" s="228"/>
      <c r="L148" s="228"/>
      <c r="M148" s="229"/>
      <c r="N148" s="46"/>
      <c r="O148" s="46"/>
      <c r="P148" s="46"/>
      <c r="Q148" s="46"/>
      <c r="R148" s="46"/>
    </row>
    <row r="149" spans="1:18" s="155" customFormat="1" ht="13.5" customHeight="1">
      <c r="A149" s="34" t="s">
        <v>119</v>
      </c>
      <c r="B149" s="227" t="s">
        <v>258</v>
      </c>
      <c r="C149" s="228"/>
      <c r="D149" s="228"/>
      <c r="E149" s="228"/>
      <c r="F149" s="228"/>
      <c r="G149" s="228"/>
      <c r="H149" s="228"/>
      <c r="I149" s="228"/>
      <c r="J149" s="228"/>
      <c r="K149" s="228"/>
      <c r="L149" s="228"/>
      <c r="M149" s="229"/>
      <c r="N149" s="46">
        <f>SUM(N150:N151)</f>
        <v>117.2</v>
      </c>
      <c r="O149" s="46">
        <f>SUM(O150:O151)</f>
        <v>117.187</v>
      </c>
      <c r="P149" s="46">
        <f>SUM(P150:P151)</f>
        <v>608</v>
      </c>
      <c r="Q149" s="46">
        <f>SUM(Q150:Q151)</f>
        <v>166.2</v>
      </c>
      <c r="R149" s="46">
        <f>SUM(R150:R151)</f>
        <v>174.4</v>
      </c>
    </row>
    <row r="150" spans="1:18" s="155" customFormat="1" ht="72.75" customHeight="1">
      <c r="A150" s="88"/>
      <c r="B150" s="28" t="s">
        <v>637</v>
      </c>
      <c r="C150" s="11"/>
      <c r="D150" s="92" t="s">
        <v>156</v>
      </c>
      <c r="E150" s="3" t="s">
        <v>28</v>
      </c>
      <c r="F150" s="3" t="s">
        <v>643</v>
      </c>
      <c r="G150" s="3" t="s">
        <v>780</v>
      </c>
      <c r="H150" s="73" t="s">
        <v>841</v>
      </c>
      <c r="I150" s="73" t="s">
        <v>842</v>
      </c>
      <c r="J150" s="73" t="s">
        <v>843</v>
      </c>
      <c r="K150" s="26" t="s">
        <v>638</v>
      </c>
      <c r="L150" s="26" t="s">
        <v>378</v>
      </c>
      <c r="M150" s="61" t="s">
        <v>600</v>
      </c>
      <c r="N150" s="54">
        <v>117.2</v>
      </c>
      <c r="O150" s="54">
        <f>117187/1000</f>
        <v>117.187</v>
      </c>
      <c r="P150" s="54">
        <v>158</v>
      </c>
      <c r="Q150" s="54">
        <v>166.2</v>
      </c>
      <c r="R150" s="54">
        <v>174.4</v>
      </c>
    </row>
    <row r="151" spans="1:18" s="155" customFormat="1" ht="99" customHeight="1">
      <c r="A151" s="34"/>
      <c r="B151" s="28" t="s">
        <v>1263</v>
      </c>
      <c r="C151" s="11"/>
      <c r="D151" s="43" t="s">
        <v>1264</v>
      </c>
      <c r="E151" s="3" t="s">
        <v>28</v>
      </c>
      <c r="F151" s="3" t="s">
        <v>643</v>
      </c>
      <c r="G151" s="3" t="s">
        <v>780</v>
      </c>
      <c r="H151" s="110" t="s">
        <v>1000</v>
      </c>
      <c r="I151" s="110" t="s">
        <v>1001</v>
      </c>
      <c r="J151" s="110" t="s">
        <v>1002</v>
      </c>
      <c r="K151" s="26" t="s">
        <v>518</v>
      </c>
      <c r="L151" s="26"/>
      <c r="M151" s="61"/>
      <c r="N151" s="47">
        <v>0</v>
      </c>
      <c r="O151" s="47">
        <v>0</v>
      </c>
      <c r="P151" s="47">
        <v>450</v>
      </c>
      <c r="Q151" s="47">
        <v>0</v>
      </c>
      <c r="R151" s="47">
        <v>0</v>
      </c>
    </row>
    <row r="152" spans="1:18" s="153" customFormat="1" ht="12" customHeight="1">
      <c r="A152" s="34" t="s">
        <v>171</v>
      </c>
      <c r="B152" s="227" t="s">
        <v>172</v>
      </c>
      <c r="C152" s="228"/>
      <c r="D152" s="228"/>
      <c r="E152" s="228"/>
      <c r="F152" s="228"/>
      <c r="G152" s="228"/>
      <c r="H152" s="228"/>
      <c r="I152" s="228"/>
      <c r="J152" s="228"/>
      <c r="K152" s="228"/>
      <c r="L152" s="228"/>
      <c r="M152" s="229"/>
      <c r="N152" s="46">
        <f>N153</f>
        <v>199.9</v>
      </c>
      <c r="O152" s="46">
        <f>O153</f>
        <v>192.9</v>
      </c>
      <c r="P152" s="46">
        <f>P153</f>
        <v>292</v>
      </c>
      <c r="Q152" s="46">
        <f>Q153</f>
        <v>307.2</v>
      </c>
      <c r="R152" s="46">
        <f>R153</f>
        <v>322.2</v>
      </c>
    </row>
    <row r="153" spans="1:18" s="155" customFormat="1" ht="82.5" customHeight="1">
      <c r="A153" s="38"/>
      <c r="B153" s="21" t="s">
        <v>325</v>
      </c>
      <c r="C153" s="8"/>
      <c r="D153" s="44" t="s">
        <v>278</v>
      </c>
      <c r="E153" s="3" t="s">
        <v>28</v>
      </c>
      <c r="F153" s="3" t="s">
        <v>840</v>
      </c>
      <c r="G153" s="3" t="s">
        <v>780</v>
      </c>
      <c r="H153" s="144"/>
      <c r="I153" s="19"/>
      <c r="J153" s="19"/>
      <c r="K153" s="17" t="s">
        <v>607</v>
      </c>
      <c r="L153" s="17" t="s">
        <v>443</v>
      </c>
      <c r="M153" s="17" t="s">
        <v>3</v>
      </c>
      <c r="N153" s="54">
        <v>199.9</v>
      </c>
      <c r="O153" s="54">
        <f>192900/1000</f>
        <v>192.9</v>
      </c>
      <c r="P153" s="54">
        <v>292</v>
      </c>
      <c r="Q153" s="55">
        <v>307.2</v>
      </c>
      <c r="R153" s="55">
        <v>322.2</v>
      </c>
    </row>
    <row r="154" spans="1:18" s="155" customFormat="1" ht="12.75" customHeight="1">
      <c r="A154" s="34" t="s">
        <v>13</v>
      </c>
      <c r="B154" s="227" t="s">
        <v>34</v>
      </c>
      <c r="C154" s="228"/>
      <c r="D154" s="228"/>
      <c r="E154" s="228"/>
      <c r="F154" s="228"/>
      <c r="G154" s="228"/>
      <c r="H154" s="228"/>
      <c r="I154" s="228"/>
      <c r="J154" s="228"/>
      <c r="K154" s="228"/>
      <c r="L154" s="228"/>
      <c r="M154" s="229"/>
      <c r="N154" s="46">
        <f>SUM(N155:N155)</f>
        <v>43065</v>
      </c>
      <c r="O154" s="46">
        <f>SUM(O155:O155)</f>
        <v>43065</v>
      </c>
      <c r="P154" s="46">
        <f>SUM(P155:P155)</f>
        <v>25151</v>
      </c>
      <c r="Q154" s="46">
        <f>SUM(Q155:Q155)</f>
        <v>26458.9</v>
      </c>
      <c r="R154" s="46">
        <f>SUM(R155:R155)</f>
        <v>27755.3</v>
      </c>
    </row>
    <row r="155" spans="1:18" s="155" customFormat="1" ht="60.75" customHeight="1">
      <c r="A155" s="34"/>
      <c r="B155" s="7" t="s">
        <v>228</v>
      </c>
      <c r="C155" s="8"/>
      <c r="D155" s="45" t="s">
        <v>286</v>
      </c>
      <c r="E155" s="59" t="s">
        <v>28</v>
      </c>
      <c r="F155" s="59" t="s">
        <v>844</v>
      </c>
      <c r="G155" s="59" t="s">
        <v>780</v>
      </c>
      <c r="H155" s="59" t="s">
        <v>142</v>
      </c>
      <c r="I155" s="59" t="s">
        <v>143</v>
      </c>
      <c r="J155" s="59" t="s">
        <v>113</v>
      </c>
      <c r="K155" s="59" t="s">
        <v>1244</v>
      </c>
      <c r="L155" s="59" t="s">
        <v>443</v>
      </c>
      <c r="M155" s="59" t="s">
        <v>1245</v>
      </c>
      <c r="N155" s="47">
        <v>43065</v>
      </c>
      <c r="O155" s="47">
        <v>43065</v>
      </c>
      <c r="P155" s="47">
        <v>25151</v>
      </c>
      <c r="Q155" s="48">
        <v>26458.9</v>
      </c>
      <c r="R155" s="48">
        <v>27755.3</v>
      </c>
    </row>
    <row r="156" spans="1:18" s="153" customFormat="1" ht="12.75" customHeight="1">
      <c r="A156" s="34" t="s">
        <v>108</v>
      </c>
      <c r="B156" s="227" t="s">
        <v>15</v>
      </c>
      <c r="C156" s="228"/>
      <c r="D156" s="228"/>
      <c r="E156" s="228"/>
      <c r="F156" s="228"/>
      <c r="G156" s="228"/>
      <c r="H156" s="228"/>
      <c r="I156" s="228"/>
      <c r="J156" s="228"/>
      <c r="K156" s="228"/>
      <c r="L156" s="228"/>
      <c r="M156" s="229"/>
      <c r="N156" s="46">
        <f>N157</f>
        <v>106</v>
      </c>
      <c r="O156" s="46">
        <f>O157</f>
        <v>89.435</v>
      </c>
      <c r="P156" s="46">
        <f>P157</f>
        <v>112.6</v>
      </c>
      <c r="Q156" s="46">
        <f>Q157</f>
        <v>118.4</v>
      </c>
      <c r="R156" s="46">
        <f>R157</f>
        <v>124.3</v>
      </c>
    </row>
    <row r="157" spans="1:18" s="154" customFormat="1" ht="36" customHeight="1">
      <c r="A157" s="197"/>
      <c r="B157" s="268" t="s">
        <v>236</v>
      </c>
      <c r="C157" s="8"/>
      <c r="D157" s="275" t="s">
        <v>135</v>
      </c>
      <c r="E157" s="17" t="s">
        <v>388</v>
      </c>
      <c r="F157" s="17" t="s">
        <v>389</v>
      </c>
      <c r="G157" s="17" t="s">
        <v>390</v>
      </c>
      <c r="H157" s="269" t="s">
        <v>396</v>
      </c>
      <c r="I157" s="269" t="s">
        <v>103</v>
      </c>
      <c r="J157" s="269" t="s">
        <v>397</v>
      </c>
      <c r="K157" s="269" t="s">
        <v>317</v>
      </c>
      <c r="L157" s="269" t="s">
        <v>318</v>
      </c>
      <c r="M157" s="269" t="s">
        <v>319</v>
      </c>
      <c r="N157" s="276">
        <v>106</v>
      </c>
      <c r="O157" s="186">
        <f>89435/1000</f>
        <v>89.435</v>
      </c>
      <c r="P157" s="276">
        <v>112.6</v>
      </c>
      <c r="Q157" s="277">
        <v>118.4</v>
      </c>
      <c r="R157" s="277">
        <v>124.3</v>
      </c>
    </row>
    <row r="158" spans="1:18" s="154" customFormat="1" ht="58.5" customHeight="1">
      <c r="A158" s="230"/>
      <c r="B158" s="268"/>
      <c r="C158" s="8"/>
      <c r="D158" s="275"/>
      <c r="E158" s="19" t="s">
        <v>28</v>
      </c>
      <c r="F158" s="19" t="s">
        <v>845</v>
      </c>
      <c r="G158" s="19" t="s">
        <v>780</v>
      </c>
      <c r="H158" s="269"/>
      <c r="I158" s="269"/>
      <c r="J158" s="269"/>
      <c r="K158" s="269"/>
      <c r="L158" s="269"/>
      <c r="M158" s="269"/>
      <c r="N158" s="276"/>
      <c r="O158" s="187"/>
      <c r="P158" s="276"/>
      <c r="Q158" s="277"/>
      <c r="R158" s="277"/>
    </row>
    <row r="159" spans="1:18" s="153" customFormat="1" ht="22.5" customHeight="1">
      <c r="A159" s="34" t="s">
        <v>195</v>
      </c>
      <c r="B159" s="227" t="s">
        <v>1101</v>
      </c>
      <c r="C159" s="228"/>
      <c r="D159" s="228"/>
      <c r="E159" s="228"/>
      <c r="F159" s="228"/>
      <c r="G159" s="228"/>
      <c r="H159" s="228"/>
      <c r="I159" s="228"/>
      <c r="J159" s="228"/>
      <c r="K159" s="228"/>
      <c r="L159" s="228"/>
      <c r="M159" s="229"/>
      <c r="N159" s="47"/>
      <c r="O159" s="47"/>
      <c r="P159" s="53"/>
      <c r="Q159" s="66"/>
      <c r="R159" s="66"/>
    </row>
    <row r="160" spans="1:18" s="155" customFormat="1" ht="12" customHeight="1">
      <c r="A160" s="34" t="s">
        <v>48</v>
      </c>
      <c r="B160" s="227" t="s">
        <v>1102</v>
      </c>
      <c r="C160" s="228"/>
      <c r="D160" s="228"/>
      <c r="E160" s="228"/>
      <c r="F160" s="228"/>
      <c r="G160" s="228"/>
      <c r="H160" s="228"/>
      <c r="I160" s="228"/>
      <c r="J160" s="228"/>
      <c r="K160" s="228"/>
      <c r="L160" s="228"/>
      <c r="M160" s="229"/>
      <c r="N160" s="46"/>
      <c r="O160" s="46"/>
      <c r="P160" s="56"/>
      <c r="Q160" s="68"/>
      <c r="R160" s="68"/>
    </row>
    <row r="161" spans="1:18" s="153" customFormat="1" ht="10.5" customHeight="1">
      <c r="A161" s="34" t="s">
        <v>114</v>
      </c>
      <c r="B161" s="227" t="s">
        <v>267</v>
      </c>
      <c r="C161" s="228"/>
      <c r="D161" s="228"/>
      <c r="E161" s="228"/>
      <c r="F161" s="228"/>
      <c r="G161" s="228"/>
      <c r="H161" s="228"/>
      <c r="I161" s="228"/>
      <c r="J161" s="228"/>
      <c r="K161" s="228"/>
      <c r="L161" s="228"/>
      <c r="M161" s="229"/>
      <c r="N161" s="47"/>
      <c r="O161" s="47"/>
      <c r="P161" s="53"/>
      <c r="Q161" s="66"/>
      <c r="R161" s="66"/>
    </row>
    <row r="162" spans="1:18" s="155" customFormat="1" ht="23.25" customHeight="1">
      <c r="A162" s="34" t="s">
        <v>45</v>
      </c>
      <c r="B162" s="270" t="s">
        <v>1103</v>
      </c>
      <c r="C162" s="271"/>
      <c r="D162" s="271"/>
      <c r="E162" s="271"/>
      <c r="F162" s="271"/>
      <c r="G162" s="271"/>
      <c r="H162" s="271"/>
      <c r="I162" s="271"/>
      <c r="J162" s="271"/>
      <c r="K162" s="271"/>
      <c r="L162" s="271"/>
      <c r="M162" s="272"/>
      <c r="N162" s="46">
        <f>SUM(N163:N168)</f>
        <v>5205.778</v>
      </c>
      <c r="O162" s="46">
        <f>SUM(O163:O168)</f>
        <v>5033.964</v>
      </c>
      <c r="P162" s="46">
        <f>SUM(P163:P168)</f>
        <v>1525</v>
      </c>
      <c r="Q162" s="46">
        <f>SUM(Q163:Q168)</f>
        <v>804.8</v>
      </c>
      <c r="R162" s="46">
        <f>SUM(R163:R168)</f>
        <v>844.2</v>
      </c>
    </row>
    <row r="163" spans="1:18" s="153" customFormat="1" ht="84.75" customHeight="1">
      <c r="A163" s="35"/>
      <c r="B163" s="21" t="s">
        <v>161</v>
      </c>
      <c r="C163" s="15"/>
      <c r="D163" s="41" t="s">
        <v>136</v>
      </c>
      <c r="E163" s="188" t="s">
        <v>28</v>
      </c>
      <c r="F163" s="188" t="s">
        <v>846</v>
      </c>
      <c r="G163" s="188" t="s">
        <v>780</v>
      </c>
      <c r="H163" s="188"/>
      <c r="I163" s="188"/>
      <c r="J163" s="220"/>
      <c r="K163" s="33" t="s">
        <v>1269</v>
      </c>
      <c r="L163" s="33" t="s">
        <v>1141</v>
      </c>
      <c r="M163" s="33" t="s">
        <v>1149</v>
      </c>
      <c r="N163" s="47">
        <v>330</v>
      </c>
      <c r="O163" s="47">
        <f>316081/1000</f>
        <v>316.081</v>
      </c>
      <c r="P163" s="47">
        <v>455</v>
      </c>
      <c r="Q163" s="48">
        <v>478.7</v>
      </c>
      <c r="R163" s="48">
        <v>502.1</v>
      </c>
    </row>
    <row r="164" spans="1:18" s="153" customFormat="1" ht="31.5" customHeight="1">
      <c r="A164" s="267"/>
      <c r="B164" s="268" t="s">
        <v>110</v>
      </c>
      <c r="C164" s="8"/>
      <c r="D164" s="275" t="s">
        <v>201</v>
      </c>
      <c r="E164" s="202"/>
      <c r="F164" s="202"/>
      <c r="G164" s="202"/>
      <c r="H164" s="202"/>
      <c r="I164" s="202"/>
      <c r="J164" s="221"/>
      <c r="K164" s="269" t="s">
        <v>1153</v>
      </c>
      <c r="L164" s="269" t="s">
        <v>222</v>
      </c>
      <c r="M164" s="269" t="s">
        <v>1154</v>
      </c>
      <c r="N164" s="49">
        <f>2557895/1000</f>
        <v>2557.895</v>
      </c>
      <c r="O164" s="49">
        <v>2400</v>
      </c>
      <c r="P164" s="49">
        <v>0</v>
      </c>
      <c r="Q164" s="49">
        <v>0</v>
      </c>
      <c r="R164" s="49">
        <v>0</v>
      </c>
    </row>
    <row r="165" spans="1:18" s="153" customFormat="1" ht="31.5" customHeight="1">
      <c r="A165" s="267"/>
      <c r="B165" s="268"/>
      <c r="C165" s="8"/>
      <c r="D165" s="275"/>
      <c r="E165" s="189"/>
      <c r="F165" s="189"/>
      <c r="G165" s="189"/>
      <c r="H165" s="189"/>
      <c r="I165" s="189"/>
      <c r="J165" s="222"/>
      <c r="K165" s="269"/>
      <c r="L165" s="269"/>
      <c r="M165" s="269"/>
      <c r="N165" s="50">
        <f>582883/1000</f>
        <v>582.883</v>
      </c>
      <c r="O165" s="50">
        <f>582883/1000</f>
        <v>582.883</v>
      </c>
      <c r="P165" s="50">
        <v>0</v>
      </c>
      <c r="Q165" s="50">
        <v>0</v>
      </c>
      <c r="R165" s="50">
        <v>0</v>
      </c>
    </row>
    <row r="166" spans="1:18" s="159" customFormat="1" ht="24.75" customHeight="1" outlineLevel="1">
      <c r="A166" s="300"/>
      <c r="B166" s="231" t="s">
        <v>1</v>
      </c>
      <c r="C166" s="9"/>
      <c r="D166" s="199" t="s">
        <v>271</v>
      </c>
      <c r="E166" s="188" t="s">
        <v>460</v>
      </c>
      <c r="F166" s="188" t="s">
        <v>313</v>
      </c>
      <c r="G166" s="188" t="s">
        <v>461</v>
      </c>
      <c r="H166" s="188" t="s">
        <v>1272</v>
      </c>
      <c r="I166" s="188" t="s">
        <v>222</v>
      </c>
      <c r="J166" s="190" t="s">
        <v>1273</v>
      </c>
      <c r="K166" s="188" t="s">
        <v>1270</v>
      </c>
      <c r="L166" s="188" t="s">
        <v>1141</v>
      </c>
      <c r="M166" s="188" t="s">
        <v>1271</v>
      </c>
      <c r="N166" s="49">
        <v>300</v>
      </c>
      <c r="O166" s="49">
        <v>300</v>
      </c>
      <c r="P166" s="49">
        <v>310</v>
      </c>
      <c r="Q166" s="52">
        <v>326.1</v>
      </c>
      <c r="R166" s="52">
        <v>342.1</v>
      </c>
    </row>
    <row r="167" spans="1:18" s="159" customFormat="1" ht="24.75" customHeight="1" outlineLevel="1">
      <c r="A167" s="301"/>
      <c r="B167" s="232"/>
      <c r="C167" s="9"/>
      <c r="D167" s="200"/>
      <c r="E167" s="202"/>
      <c r="F167" s="202"/>
      <c r="G167" s="202"/>
      <c r="H167" s="202"/>
      <c r="I167" s="202"/>
      <c r="J167" s="191"/>
      <c r="K167" s="202"/>
      <c r="L167" s="202"/>
      <c r="M167" s="202"/>
      <c r="N167" s="50">
        <v>845</v>
      </c>
      <c r="O167" s="50">
        <v>845</v>
      </c>
      <c r="P167" s="50">
        <f>330+70</f>
        <v>400</v>
      </c>
      <c r="Q167" s="60">
        <v>0</v>
      </c>
      <c r="R167" s="60">
        <v>0</v>
      </c>
    </row>
    <row r="168" spans="1:18" s="159" customFormat="1" ht="22.5" customHeight="1" outlineLevel="1">
      <c r="A168" s="302"/>
      <c r="B168" s="246"/>
      <c r="C168" s="9"/>
      <c r="D168" s="239"/>
      <c r="E168" s="189"/>
      <c r="F168" s="189"/>
      <c r="G168" s="189"/>
      <c r="H168" s="189"/>
      <c r="I168" s="189"/>
      <c r="J168" s="192"/>
      <c r="K168" s="189"/>
      <c r="L168" s="189"/>
      <c r="M168" s="189"/>
      <c r="N168" s="54">
        <v>590</v>
      </c>
      <c r="O168" s="54">
        <v>590</v>
      </c>
      <c r="P168" s="54">
        <f>260+100</f>
        <v>360</v>
      </c>
      <c r="Q168" s="55">
        <v>0</v>
      </c>
      <c r="R168" s="55">
        <v>0</v>
      </c>
    </row>
    <row r="169" spans="1:18" s="153" customFormat="1" ht="23.25" customHeight="1">
      <c r="A169" s="34" t="s">
        <v>17</v>
      </c>
      <c r="B169" s="227" t="s">
        <v>18</v>
      </c>
      <c r="C169" s="228"/>
      <c r="D169" s="228"/>
      <c r="E169" s="228"/>
      <c r="F169" s="228"/>
      <c r="G169" s="228"/>
      <c r="H169" s="228"/>
      <c r="I169" s="228"/>
      <c r="J169" s="228"/>
      <c r="K169" s="228"/>
      <c r="L169" s="228"/>
      <c r="M169" s="229"/>
      <c r="N169" s="46">
        <f>SUM(N170:N176)</f>
        <v>4511.525360000001</v>
      </c>
      <c r="O169" s="46">
        <f>SUM(O170:O176)</f>
        <v>4506.01609</v>
      </c>
      <c r="P169" s="46">
        <f>SUM(P170:P176)</f>
        <v>17918.5</v>
      </c>
      <c r="Q169" s="46">
        <f>SUM(Q170:Q176)</f>
        <v>3506.9</v>
      </c>
      <c r="R169" s="46">
        <f>SUM(R170:R176)</f>
        <v>3674.1</v>
      </c>
    </row>
    <row r="170" spans="1:18" s="154" customFormat="1" ht="182.25" customHeight="1">
      <c r="A170" s="197"/>
      <c r="B170" s="231" t="s">
        <v>76</v>
      </c>
      <c r="C170" s="8"/>
      <c r="D170" s="199" t="s">
        <v>544</v>
      </c>
      <c r="E170" s="188" t="s">
        <v>28</v>
      </c>
      <c r="F170" s="188" t="s">
        <v>43</v>
      </c>
      <c r="G170" s="188" t="s">
        <v>780</v>
      </c>
      <c r="H170" s="188"/>
      <c r="I170" s="188"/>
      <c r="J170" s="188"/>
      <c r="K170" s="17" t="s">
        <v>1089</v>
      </c>
      <c r="L170" s="17" t="s">
        <v>162</v>
      </c>
      <c r="M170" s="17" t="s">
        <v>163</v>
      </c>
      <c r="N170" s="186">
        <f>1498.506+915.1</f>
        <v>2413.606</v>
      </c>
      <c r="O170" s="186">
        <f>(1493475.62+915100)/1000</f>
        <v>2408.57562</v>
      </c>
      <c r="P170" s="186">
        <f>970.1+2060</f>
        <v>3030.1</v>
      </c>
      <c r="Q170" s="233">
        <v>3187.6</v>
      </c>
      <c r="R170" s="233">
        <v>3343.9</v>
      </c>
    </row>
    <row r="171" spans="1:18" s="154" customFormat="1" ht="47.25" customHeight="1">
      <c r="A171" s="230"/>
      <c r="B171" s="246"/>
      <c r="C171" s="8"/>
      <c r="D171" s="239"/>
      <c r="E171" s="189"/>
      <c r="F171" s="189"/>
      <c r="G171" s="189"/>
      <c r="H171" s="189"/>
      <c r="I171" s="189"/>
      <c r="J171" s="189"/>
      <c r="K171" s="19" t="s">
        <v>1207</v>
      </c>
      <c r="L171" s="19" t="s">
        <v>1141</v>
      </c>
      <c r="M171" s="19" t="s">
        <v>1138</v>
      </c>
      <c r="N171" s="187"/>
      <c r="O171" s="187"/>
      <c r="P171" s="187"/>
      <c r="Q171" s="247"/>
      <c r="R171" s="247"/>
    </row>
    <row r="172" spans="1:18" s="154" customFormat="1" ht="115.5" customHeight="1">
      <c r="A172" s="35"/>
      <c r="B172" s="7" t="s">
        <v>470</v>
      </c>
      <c r="C172" s="8"/>
      <c r="D172" s="40" t="s">
        <v>609</v>
      </c>
      <c r="E172" s="3" t="s">
        <v>28</v>
      </c>
      <c r="F172" s="3" t="s">
        <v>43</v>
      </c>
      <c r="G172" s="3" t="s">
        <v>780</v>
      </c>
      <c r="H172" s="3"/>
      <c r="I172" s="3"/>
      <c r="J172" s="3"/>
      <c r="K172" s="3" t="s">
        <v>1242</v>
      </c>
      <c r="L172" s="3" t="s">
        <v>222</v>
      </c>
      <c r="M172" s="3" t="s">
        <v>316</v>
      </c>
      <c r="N172" s="47">
        <v>1797.61936</v>
      </c>
      <c r="O172" s="47">
        <f>1797145.47/1000</f>
        <v>1797.14547</v>
      </c>
      <c r="P172" s="47">
        <v>3122</v>
      </c>
      <c r="Q172" s="48">
        <v>0</v>
      </c>
      <c r="R172" s="48">
        <v>0</v>
      </c>
    </row>
    <row r="173" spans="1:18" s="154" customFormat="1" ht="61.5" customHeight="1">
      <c r="A173" s="35"/>
      <c r="B173" s="28" t="s">
        <v>1023</v>
      </c>
      <c r="C173" s="8"/>
      <c r="D173" s="40" t="s">
        <v>609</v>
      </c>
      <c r="E173" s="3" t="s">
        <v>28</v>
      </c>
      <c r="F173" s="3" t="s">
        <v>246</v>
      </c>
      <c r="G173" s="3" t="s">
        <v>780</v>
      </c>
      <c r="H173" s="3"/>
      <c r="I173" s="3"/>
      <c r="J173" s="3"/>
      <c r="K173" s="26" t="s">
        <v>518</v>
      </c>
      <c r="L173" s="26"/>
      <c r="M173" s="61"/>
      <c r="N173" s="47">
        <v>0</v>
      </c>
      <c r="O173" s="47">
        <v>0</v>
      </c>
      <c r="P173" s="47">
        <v>11458</v>
      </c>
      <c r="Q173" s="48">
        <v>0</v>
      </c>
      <c r="R173" s="48">
        <v>0</v>
      </c>
    </row>
    <row r="174" spans="1:18" s="154" customFormat="1" ht="81.75" customHeight="1">
      <c r="A174" s="36"/>
      <c r="B174" s="28" t="s">
        <v>667</v>
      </c>
      <c r="C174" s="15"/>
      <c r="D174" s="41" t="s">
        <v>545</v>
      </c>
      <c r="E174" s="3" t="s">
        <v>847</v>
      </c>
      <c r="F174" s="3" t="s">
        <v>848</v>
      </c>
      <c r="G174" s="3" t="s">
        <v>780</v>
      </c>
      <c r="H174" s="17"/>
      <c r="I174" s="17"/>
      <c r="J174" s="17"/>
      <c r="K174" s="26" t="s">
        <v>748</v>
      </c>
      <c r="L174" s="26" t="s">
        <v>222</v>
      </c>
      <c r="M174" s="61" t="s">
        <v>749</v>
      </c>
      <c r="N174" s="49">
        <v>100</v>
      </c>
      <c r="O174" s="49">
        <f>99995/1000</f>
        <v>99.995</v>
      </c>
      <c r="P174" s="49">
        <v>0</v>
      </c>
      <c r="Q174" s="52">
        <v>0</v>
      </c>
      <c r="R174" s="52">
        <v>0</v>
      </c>
    </row>
    <row r="175" spans="1:18" s="154" customFormat="1" ht="177" customHeight="1">
      <c r="A175" s="35"/>
      <c r="B175" s="69" t="s">
        <v>1025</v>
      </c>
      <c r="C175" s="15"/>
      <c r="D175" s="41" t="s">
        <v>545</v>
      </c>
      <c r="E175" s="3" t="s">
        <v>28</v>
      </c>
      <c r="F175" s="3" t="s">
        <v>43</v>
      </c>
      <c r="G175" s="3" t="s">
        <v>29</v>
      </c>
      <c r="H175" s="3" t="s">
        <v>487</v>
      </c>
      <c r="I175" s="3" t="s">
        <v>222</v>
      </c>
      <c r="J175" s="3" t="s">
        <v>386</v>
      </c>
      <c r="K175" s="26" t="s">
        <v>1256</v>
      </c>
      <c r="L175" s="26" t="s">
        <v>1252</v>
      </c>
      <c r="M175" s="61" t="s">
        <v>1257</v>
      </c>
      <c r="N175" s="47">
        <v>0</v>
      </c>
      <c r="O175" s="47">
        <v>0</v>
      </c>
      <c r="P175" s="47">
        <v>98</v>
      </c>
      <c r="Q175" s="48">
        <v>98</v>
      </c>
      <c r="R175" s="48">
        <v>98</v>
      </c>
    </row>
    <row r="176" spans="1:18" s="154" customFormat="1" ht="49.5" customHeight="1">
      <c r="A176" s="197"/>
      <c r="B176" s="231" t="s">
        <v>237</v>
      </c>
      <c r="C176" s="15"/>
      <c r="D176" s="199" t="s">
        <v>609</v>
      </c>
      <c r="E176" s="188" t="s">
        <v>28</v>
      </c>
      <c r="F176" s="188" t="s">
        <v>43</v>
      </c>
      <c r="G176" s="188" t="s">
        <v>780</v>
      </c>
      <c r="H176" s="188" t="s">
        <v>403</v>
      </c>
      <c r="I176" s="188" t="s">
        <v>402</v>
      </c>
      <c r="J176" s="188" t="s">
        <v>404</v>
      </c>
      <c r="K176" s="24" t="s">
        <v>1192</v>
      </c>
      <c r="L176" s="24" t="s">
        <v>865</v>
      </c>
      <c r="M176" s="62" t="s">
        <v>600</v>
      </c>
      <c r="N176" s="186">
        <v>200.3</v>
      </c>
      <c r="O176" s="186">
        <v>200.3</v>
      </c>
      <c r="P176" s="186">
        <v>210.4</v>
      </c>
      <c r="Q176" s="233">
        <v>221.3</v>
      </c>
      <c r="R176" s="233">
        <v>232.2</v>
      </c>
    </row>
    <row r="177" spans="1:18" s="154" customFormat="1" ht="54.75" customHeight="1">
      <c r="A177" s="230"/>
      <c r="B177" s="246"/>
      <c r="C177" s="15"/>
      <c r="D177" s="239"/>
      <c r="E177" s="189"/>
      <c r="F177" s="189"/>
      <c r="G177" s="189"/>
      <c r="H177" s="189"/>
      <c r="I177" s="189"/>
      <c r="J177" s="189"/>
      <c r="K177" s="25" t="s">
        <v>1156</v>
      </c>
      <c r="L177" s="25" t="s">
        <v>1141</v>
      </c>
      <c r="M177" s="25" t="s">
        <v>1193</v>
      </c>
      <c r="N177" s="187"/>
      <c r="O177" s="187"/>
      <c r="P177" s="187"/>
      <c r="Q177" s="247"/>
      <c r="R177" s="247"/>
    </row>
    <row r="178" spans="1:18" s="153" customFormat="1" ht="12.75" customHeight="1">
      <c r="A178" s="34" t="s">
        <v>81</v>
      </c>
      <c r="B178" s="227" t="s">
        <v>109</v>
      </c>
      <c r="C178" s="228"/>
      <c r="D178" s="228"/>
      <c r="E178" s="228"/>
      <c r="F178" s="228"/>
      <c r="G178" s="228"/>
      <c r="H178" s="228"/>
      <c r="I178" s="228"/>
      <c r="J178" s="228"/>
      <c r="K178" s="228"/>
      <c r="L178" s="228"/>
      <c r="M178" s="229"/>
      <c r="N178" s="46">
        <f>SUM(N179:N182)</f>
        <v>829.086</v>
      </c>
      <c r="O178" s="46">
        <f>SUM(O179:O182)</f>
        <v>797.6210000000001</v>
      </c>
      <c r="P178" s="46">
        <f>SUM(P179:P182)</f>
        <v>790.6</v>
      </c>
      <c r="Q178" s="46">
        <f>SUM(Q179:Q182)</f>
        <v>831.7</v>
      </c>
      <c r="R178" s="46">
        <f>SUM(R179:R182)</f>
        <v>872.6000000000001</v>
      </c>
    </row>
    <row r="179" spans="1:18" s="154" customFormat="1" ht="35.25" customHeight="1">
      <c r="A179" s="197"/>
      <c r="B179" s="231" t="s">
        <v>1150</v>
      </c>
      <c r="C179" s="8"/>
      <c r="D179" s="41" t="s">
        <v>278</v>
      </c>
      <c r="E179" s="188" t="s">
        <v>406</v>
      </c>
      <c r="F179" s="188" t="s">
        <v>44</v>
      </c>
      <c r="G179" s="188" t="s">
        <v>780</v>
      </c>
      <c r="H179" s="188" t="s">
        <v>405</v>
      </c>
      <c r="I179" s="188" t="s">
        <v>407</v>
      </c>
      <c r="J179" s="188" t="s">
        <v>408</v>
      </c>
      <c r="K179" s="188" t="s">
        <v>1151</v>
      </c>
      <c r="L179" s="188" t="s">
        <v>222</v>
      </c>
      <c r="M179" s="188" t="s">
        <v>1152</v>
      </c>
      <c r="N179" s="49">
        <v>52</v>
      </c>
      <c r="O179" s="49">
        <v>52</v>
      </c>
      <c r="P179" s="49">
        <v>48</v>
      </c>
      <c r="Q179" s="52">
        <v>50.5</v>
      </c>
      <c r="R179" s="52">
        <v>53</v>
      </c>
    </row>
    <row r="180" spans="1:18" s="154" customFormat="1" ht="35.25" customHeight="1">
      <c r="A180" s="230"/>
      <c r="B180" s="246"/>
      <c r="C180" s="15"/>
      <c r="D180" s="44" t="s">
        <v>12</v>
      </c>
      <c r="E180" s="189"/>
      <c r="F180" s="189"/>
      <c r="G180" s="189"/>
      <c r="H180" s="189"/>
      <c r="I180" s="189"/>
      <c r="J180" s="189"/>
      <c r="K180" s="189"/>
      <c r="L180" s="189"/>
      <c r="M180" s="189"/>
      <c r="N180" s="54">
        <v>210</v>
      </c>
      <c r="O180" s="54">
        <v>210</v>
      </c>
      <c r="P180" s="54">
        <v>162</v>
      </c>
      <c r="Q180" s="55">
        <v>170.4</v>
      </c>
      <c r="R180" s="55">
        <v>178.8</v>
      </c>
    </row>
    <row r="181" spans="1:18" s="154" customFormat="1" ht="60.75" customHeight="1">
      <c r="A181" s="35"/>
      <c r="B181" s="7" t="s">
        <v>38</v>
      </c>
      <c r="C181" s="8"/>
      <c r="D181" s="40" t="s">
        <v>134</v>
      </c>
      <c r="E181" s="3" t="s">
        <v>28</v>
      </c>
      <c r="F181" s="3" t="s">
        <v>44</v>
      </c>
      <c r="G181" s="3" t="s">
        <v>780</v>
      </c>
      <c r="H181" s="3"/>
      <c r="I181" s="3"/>
      <c r="J181" s="3"/>
      <c r="K181" s="3" t="s">
        <v>524</v>
      </c>
      <c r="L181" s="3" t="s">
        <v>32</v>
      </c>
      <c r="M181" s="3" t="s">
        <v>75</v>
      </c>
      <c r="N181" s="47">
        <v>301.5</v>
      </c>
      <c r="O181" s="47">
        <f>270035/1000</f>
        <v>270.035</v>
      </c>
      <c r="P181" s="47">
        <v>300</v>
      </c>
      <c r="Q181" s="47">
        <v>315.6</v>
      </c>
      <c r="R181" s="47">
        <v>331.1</v>
      </c>
    </row>
    <row r="182" spans="1:18" s="154" customFormat="1" ht="61.5" customHeight="1">
      <c r="A182" s="35"/>
      <c r="B182" s="7" t="s">
        <v>249</v>
      </c>
      <c r="C182" s="8"/>
      <c r="D182" s="40" t="s">
        <v>278</v>
      </c>
      <c r="E182" s="3" t="s">
        <v>28</v>
      </c>
      <c r="F182" s="3" t="s">
        <v>5</v>
      </c>
      <c r="G182" s="3" t="s">
        <v>780</v>
      </c>
      <c r="H182" s="3"/>
      <c r="I182" s="3"/>
      <c r="J182" s="3"/>
      <c r="K182" s="26" t="s">
        <v>506</v>
      </c>
      <c r="L182" s="26" t="s">
        <v>178</v>
      </c>
      <c r="M182" s="26" t="s">
        <v>370</v>
      </c>
      <c r="N182" s="47">
        <v>265.586</v>
      </c>
      <c r="O182" s="47">
        <v>265.586</v>
      </c>
      <c r="P182" s="47">
        <v>280.6</v>
      </c>
      <c r="Q182" s="48">
        <v>295.2</v>
      </c>
      <c r="R182" s="48">
        <v>309.7</v>
      </c>
    </row>
    <row r="183" spans="1:18" s="153" customFormat="1" ht="22.5" customHeight="1">
      <c r="A183" s="34" t="s">
        <v>212</v>
      </c>
      <c r="B183" s="227" t="s">
        <v>1104</v>
      </c>
      <c r="C183" s="228"/>
      <c r="D183" s="228"/>
      <c r="E183" s="228"/>
      <c r="F183" s="228"/>
      <c r="G183" s="228"/>
      <c r="H183" s="228"/>
      <c r="I183" s="228"/>
      <c r="J183" s="228"/>
      <c r="K183" s="228"/>
      <c r="L183" s="228"/>
      <c r="M183" s="229"/>
      <c r="N183" s="47"/>
      <c r="O183" s="47"/>
      <c r="P183" s="53"/>
      <c r="Q183" s="66"/>
      <c r="R183" s="66"/>
    </row>
    <row r="184" spans="1:18" s="153" customFormat="1" ht="12" customHeight="1">
      <c r="A184" s="34" t="s">
        <v>788</v>
      </c>
      <c r="B184" s="227" t="s">
        <v>789</v>
      </c>
      <c r="C184" s="228"/>
      <c r="D184" s="228"/>
      <c r="E184" s="228"/>
      <c r="F184" s="228"/>
      <c r="G184" s="228"/>
      <c r="H184" s="228"/>
      <c r="I184" s="228"/>
      <c r="J184" s="228"/>
      <c r="K184" s="228"/>
      <c r="L184" s="228"/>
      <c r="M184" s="229"/>
      <c r="N184" s="47"/>
      <c r="O184" s="47"/>
      <c r="P184" s="53"/>
      <c r="Q184" s="66"/>
      <c r="R184" s="66"/>
    </row>
    <row r="185" spans="1:18" s="153" customFormat="1" ht="12" customHeight="1">
      <c r="A185" s="34" t="s">
        <v>790</v>
      </c>
      <c r="B185" s="227" t="s">
        <v>791</v>
      </c>
      <c r="C185" s="228"/>
      <c r="D185" s="228"/>
      <c r="E185" s="228"/>
      <c r="F185" s="228"/>
      <c r="G185" s="228"/>
      <c r="H185" s="228"/>
      <c r="I185" s="228"/>
      <c r="J185" s="228"/>
      <c r="K185" s="228"/>
      <c r="L185" s="228"/>
      <c r="M185" s="229"/>
      <c r="N185" s="47"/>
      <c r="O185" s="47"/>
      <c r="P185" s="53"/>
      <c r="Q185" s="66"/>
      <c r="R185" s="66"/>
    </row>
    <row r="186" spans="1:18" s="153" customFormat="1" ht="12" customHeight="1">
      <c r="A186" s="34" t="s">
        <v>792</v>
      </c>
      <c r="B186" s="227" t="s">
        <v>1105</v>
      </c>
      <c r="C186" s="228"/>
      <c r="D186" s="228"/>
      <c r="E186" s="228"/>
      <c r="F186" s="228"/>
      <c r="G186" s="228"/>
      <c r="H186" s="228"/>
      <c r="I186" s="228"/>
      <c r="J186" s="228"/>
      <c r="K186" s="228"/>
      <c r="L186" s="228"/>
      <c r="M186" s="229"/>
      <c r="N186" s="47"/>
      <c r="O186" s="47"/>
      <c r="P186" s="53"/>
      <c r="Q186" s="66"/>
      <c r="R186" s="66"/>
    </row>
    <row r="187" spans="1:18" s="153" customFormat="1" ht="24" customHeight="1">
      <c r="A187" s="34" t="s">
        <v>793</v>
      </c>
      <c r="B187" s="227" t="s">
        <v>794</v>
      </c>
      <c r="C187" s="228"/>
      <c r="D187" s="228"/>
      <c r="E187" s="228"/>
      <c r="F187" s="228"/>
      <c r="G187" s="228"/>
      <c r="H187" s="228"/>
      <c r="I187" s="228"/>
      <c r="J187" s="228"/>
      <c r="K187" s="228"/>
      <c r="L187" s="228"/>
      <c r="M187" s="229"/>
      <c r="N187" s="47"/>
      <c r="O187" s="47"/>
      <c r="P187" s="53"/>
      <c r="Q187" s="66"/>
      <c r="R187" s="66"/>
    </row>
    <row r="188" spans="1:18" s="153" customFormat="1" ht="12" customHeight="1">
      <c r="A188" s="34" t="s">
        <v>795</v>
      </c>
      <c r="B188" s="227" t="s">
        <v>796</v>
      </c>
      <c r="C188" s="228"/>
      <c r="D188" s="228"/>
      <c r="E188" s="228"/>
      <c r="F188" s="228"/>
      <c r="G188" s="228"/>
      <c r="H188" s="228"/>
      <c r="I188" s="228"/>
      <c r="J188" s="228"/>
      <c r="K188" s="228"/>
      <c r="L188" s="228"/>
      <c r="M188" s="229"/>
      <c r="N188" s="47"/>
      <c r="O188" s="47"/>
      <c r="P188" s="53"/>
      <c r="Q188" s="66"/>
      <c r="R188" s="66"/>
    </row>
    <row r="189" spans="1:18" s="153" customFormat="1" ht="12" customHeight="1">
      <c r="A189" s="34" t="s">
        <v>1106</v>
      </c>
      <c r="B189" s="227" t="s">
        <v>1107</v>
      </c>
      <c r="C189" s="278"/>
      <c r="D189" s="278"/>
      <c r="E189" s="278"/>
      <c r="F189" s="278"/>
      <c r="G189" s="278"/>
      <c r="H189" s="278"/>
      <c r="I189" s="278"/>
      <c r="J189" s="278"/>
      <c r="K189" s="278"/>
      <c r="L189" s="278"/>
      <c r="M189" s="279"/>
      <c r="N189" s="47"/>
      <c r="O189" s="47"/>
      <c r="P189" s="53"/>
      <c r="Q189" s="66"/>
      <c r="R189" s="66"/>
    </row>
    <row r="190" spans="1:18" s="153" customFormat="1" ht="22.5" customHeight="1">
      <c r="A190" s="34" t="s">
        <v>1108</v>
      </c>
      <c r="B190" s="227" t="s">
        <v>1109</v>
      </c>
      <c r="C190" s="228"/>
      <c r="D190" s="228"/>
      <c r="E190" s="228"/>
      <c r="F190" s="228"/>
      <c r="G190" s="228"/>
      <c r="H190" s="228"/>
      <c r="I190" s="228"/>
      <c r="J190" s="228"/>
      <c r="K190" s="228"/>
      <c r="L190" s="228"/>
      <c r="M190" s="229"/>
      <c r="N190" s="47"/>
      <c r="O190" s="47"/>
      <c r="P190" s="53"/>
      <c r="Q190" s="66"/>
      <c r="R190" s="66"/>
    </row>
    <row r="191" spans="1:18" s="153" customFormat="1" ht="12.75" customHeight="1">
      <c r="A191" s="34" t="s">
        <v>797</v>
      </c>
      <c r="B191" s="227" t="s">
        <v>798</v>
      </c>
      <c r="C191" s="228"/>
      <c r="D191" s="228"/>
      <c r="E191" s="228"/>
      <c r="F191" s="228"/>
      <c r="G191" s="228"/>
      <c r="H191" s="228"/>
      <c r="I191" s="228"/>
      <c r="J191" s="228"/>
      <c r="K191" s="228"/>
      <c r="L191" s="228"/>
      <c r="M191" s="229"/>
      <c r="N191" s="47"/>
      <c r="O191" s="47"/>
      <c r="P191" s="53"/>
      <c r="Q191" s="66"/>
      <c r="R191" s="66"/>
    </row>
    <row r="192" spans="1:18" s="153" customFormat="1" ht="24" customHeight="1">
      <c r="A192" s="34" t="s">
        <v>621</v>
      </c>
      <c r="B192" s="227" t="s">
        <v>622</v>
      </c>
      <c r="C192" s="228"/>
      <c r="D192" s="228"/>
      <c r="E192" s="228"/>
      <c r="F192" s="228"/>
      <c r="G192" s="228"/>
      <c r="H192" s="228"/>
      <c r="I192" s="228"/>
      <c r="J192" s="228"/>
      <c r="K192" s="228"/>
      <c r="L192" s="228"/>
      <c r="M192" s="229"/>
      <c r="N192" s="46">
        <f>SUM(N193:N196)</f>
        <v>222.82578</v>
      </c>
      <c r="O192" s="46">
        <f>SUM(O193:O196)</f>
        <v>214.53278</v>
      </c>
      <c r="P192" s="46">
        <f>SUM(P193:P196)</f>
        <v>885</v>
      </c>
      <c r="Q192" s="46">
        <f>SUM(Q193:Q196)</f>
        <v>210.4</v>
      </c>
      <c r="R192" s="46">
        <f>SUM(R193:R196)</f>
        <v>220.7</v>
      </c>
    </row>
    <row r="193" spans="1:18" s="154" customFormat="1" ht="60" customHeight="1">
      <c r="A193" s="35"/>
      <c r="B193" s="7" t="s">
        <v>526</v>
      </c>
      <c r="C193" s="8"/>
      <c r="D193" s="40" t="s">
        <v>177</v>
      </c>
      <c r="E193" s="3" t="s">
        <v>28</v>
      </c>
      <c r="F193" s="3" t="s">
        <v>849</v>
      </c>
      <c r="G193" s="6" t="s">
        <v>781</v>
      </c>
      <c r="H193" s="3" t="s">
        <v>225</v>
      </c>
      <c r="I193" s="3" t="s">
        <v>190</v>
      </c>
      <c r="J193" s="3" t="s">
        <v>27</v>
      </c>
      <c r="K193" s="3" t="s">
        <v>527</v>
      </c>
      <c r="L193" s="3" t="s">
        <v>103</v>
      </c>
      <c r="M193" s="3" t="s">
        <v>27</v>
      </c>
      <c r="N193" s="47">
        <v>200</v>
      </c>
      <c r="O193" s="47">
        <f>191707/1000</f>
        <v>191.707</v>
      </c>
      <c r="P193" s="47">
        <v>200</v>
      </c>
      <c r="Q193" s="48">
        <v>210.4</v>
      </c>
      <c r="R193" s="48">
        <v>220.7</v>
      </c>
    </row>
    <row r="194" spans="1:18" s="154" customFormat="1" ht="60.75" customHeight="1">
      <c r="A194" s="197"/>
      <c r="B194" s="209" t="s">
        <v>464</v>
      </c>
      <c r="C194" s="8"/>
      <c r="D194" s="199" t="s">
        <v>101</v>
      </c>
      <c r="E194" s="188" t="s">
        <v>28</v>
      </c>
      <c r="F194" s="188" t="s">
        <v>849</v>
      </c>
      <c r="G194" s="188" t="s">
        <v>780</v>
      </c>
      <c r="H194" s="188" t="s">
        <v>471</v>
      </c>
      <c r="I194" s="188" t="s">
        <v>472</v>
      </c>
      <c r="J194" s="190" t="s">
        <v>473</v>
      </c>
      <c r="K194" s="24" t="s">
        <v>465</v>
      </c>
      <c r="L194" s="24" t="s">
        <v>7</v>
      </c>
      <c r="M194" s="62" t="s">
        <v>466</v>
      </c>
      <c r="N194" s="186"/>
      <c r="O194" s="186"/>
      <c r="P194" s="186"/>
      <c r="Q194" s="233"/>
      <c r="R194" s="233"/>
    </row>
    <row r="195" spans="1:18" s="154" customFormat="1" ht="61.5" customHeight="1">
      <c r="A195" s="198"/>
      <c r="B195" s="280"/>
      <c r="C195" s="8"/>
      <c r="D195" s="200"/>
      <c r="E195" s="202"/>
      <c r="F195" s="202"/>
      <c r="G195" s="202"/>
      <c r="H195" s="202"/>
      <c r="I195" s="202"/>
      <c r="J195" s="191"/>
      <c r="K195" s="81" t="s">
        <v>467</v>
      </c>
      <c r="L195" s="81" t="s">
        <v>222</v>
      </c>
      <c r="M195" s="85" t="s">
        <v>468</v>
      </c>
      <c r="N195" s="235"/>
      <c r="O195" s="235"/>
      <c r="P195" s="235"/>
      <c r="Q195" s="234"/>
      <c r="R195" s="234"/>
    </row>
    <row r="196" spans="1:18" s="154" customFormat="1" ht="94.5" customHeight="1">
      <c r="A196" s="230"/>
      <c r="B196" s="210"/>
      <c r="C196" s="8"/>
      <c r="D196" s="239"/>
      <c r="E196" s="189"/>
      <c r="F196" s="189"/>
      <c r="G196" s="189"/>
      <c r="H196" s="189"/>
      <c r="I196" s="189"/>
      <c r="J196" s="192"/>
      <c r="K196" s="25" t="s">
        <v>605</v>
      </c>
      <c r="L196" s="25" t="s">
        <v>173</v>
      </c>
      <c r="M196" s="63" t="s">
        <v>606</v>
      </c>
      <c r="N196" s="54">
        <v>22.82578</v>
      </c>
      <c r="O196" s="54">
        <f>22825.78/1000</f>
        <v>22.825779999999998</v>
      </c>
      <c r="P196" s="54">
        <v>685</v>
      </c>
      <c r="Q196" s="55">
        <v>0</v>
      </c>
      <c r="R196" s="55">
        <v>0</v>
      </c>
    </row>
    <row r="197" spans="1:18" s="153" customFormat="1" ht="34.5" customHeight="1">
      <c r="A197" s="34" t="s">
        <v>655</v>
      </c>
      <c r="B197" s="227" t="s">
        <v>656</v>
      </c>
      <c r="C197" s="228"/>
      <c r="D197" s="228"/>
      <c r="E197" s="228"/>
      <c r="F197" s="228"/>
      <c r="G197" s="228"/>
      <c r="H197" s="228"/>
      <c r="I197" s="228"/>
      <c r="J197" s="228"/>
      <c r="K197" s="228"/>
      <c r="L197" s="228"/>
      <c r="M197" s="229"/>
      <c r="N197" s="46">
        <f>SUM(N198:N207)</f>
        <v>4472.21083</v>
      </c>
      <c r="O197" s="46">
        <f>SUM(O198:O207)</f>
        <v>4465.18293</v>
      </c>
      <c r="P197" s="46">
        <f>SUM(P198:P207)</f>
        <v>0</v>
      </c>
      <c r="Q197" s="46">
        <f>SUM(Q198:Q207)</f>
        <v>0</v>
      </c>
      <c r="R197" s="46">
        <f>SUM(R198:R207)</f>
        <v>0</v>
      </c>
    </row>
    <row r="198" spans="1:18" s="154" customFormat="1" ht="94.5" customHeight="1">
      <c r="A198" s="35"/>
      <c r="B198" s="28" t="s">
        <v>596</v>
      </c>
      <c r="C198" s="8"/>
      <c r="D198" s="40" t="s">
        <v>278</v>
      </c>
      <c r="E198" s="3" t="s">
        <v>28</v>
      </c>
      <c r="F198" s="3" t="s">
        <v>850</v>
      </c>
      <c r="G198" s="6" t="s">
        <v>781</v>
      </c>
      <c r="H198" s="3" t="s">
        <v>510</v>
      </c>
      <c r="I198" s="3" t="s">
        <v>222</v>
      </c>
      <c r="J198" s="3" t="s">
        <v>515</v>
      </c>
      <c r="K198" s="26" t="s">
        <v>481</v>
      </c>
      <c r="L198" s="26" t="s">
        <v>222</v>
      </c>
      <c r="M198" s="26" t="s">
        <v>482</v>
      </c>
      <c r="N198" s="47">
        <f>7027.9/1000</f>
        <v>7.0279</v>
      </c>
      <c r="O198" s="47">
        <v>0</v>
      </c>
      <c r="P198" s="47">
        <v>0</v>
      </c>
      <c r="Q198" s="48">
        <v>0</v>
      </c>
      <c r="R198" s="48">
        <v>0</v>
      </c>
    </row>
    <row r="199" spans="1:18" s="154" customFormat="1" ht="84" customHeight="1">
      <c r="A199" s="197"/>
      <c r="B199" s="69" t="s">
        <v>484</v>
      </c>
      <c r="C199" s="15"/>
      <c r="D199" s="41" t="s">
        <v>12</v>
      </c>
      <c r="E199" s="188" t="s">
        <v>28</v>
      </c>
      <c r="F199" s="188" t="s">
        <v>850</v>
      </c>
      <c r="G199" s="188" t="s">
        <v>780</v>
      </c>
      <c r="H199" s="17" t="s">
        <v>487</v>
      </c>
      <c r="I199" s="17" t="s">
        <v>222</v>
      </c>
      <c r="J199" s="17" t="s">
        <v>386</v>
      </c>
      <c r="K199" s="24" t="s">
        <v>485</v>
      </c>
      <c r="L199" s="24" t="s">
        <v>222</v>
      </c>
      <c r="M199" s="24" t="s">
        <v>486</v>
      </c>
      <c r="N199" s="49">
        <v>2768</v>
      </c>
      <c r="O199" s="49">
        <v>2768</v>
      </c>
      <c r="P199" s="49">
        <v>0</v>
      </c>
      <c r="Q199" s="52">
        <v>0</v>
      </c>
      <c r="R199" s="52">
        <v>0</v>
      </c>
    </row>
    <row r="200" spans="1:18" s="154" customFormat="1" ht="60" customHeight="1">
      <c r="A200" s="198"/>
      <c r="B200" s="104" t="s">
        <v>1079</v>
      </c>
      <c r="C200" s="65"/>
      <c r="D200" s="42" t="s">
        <v>278</v>
      </c>
      <c r="E200" s="202"/>
      <c r="F200" s="202"/>
      <c r="G200" s="202"/>
      <c r="H200" s="202" t="s">
        <v>510</v>
      </c>
      <c r="I200" s="202" t="s">
        <v>222</v>
      </c>
      <c r="J200" s="202" t="s">
        <v>654</v>
      </c>
      <c r="K200" s="81" t="s">
        <v>642</v>
      </c>
      <c r="L200" s="81" t="s">
        <v>173</v>
      </c>
      <c r="M200" s="81" t="s">
        <v>604</v>
      </c>
      <c r="N200" s="50">
        <v>93.78258</v>
      </c>
      <c r="O200" s="50">
        <f>93782.58/1000</f>
        <v>93.78258</v>
      </c>
      <c r="P200" s="50">
        <v>0</v>
      </c>
      <c r="Q200" s="60">
        <v>0</v>
      </c>
      <c r="R200" s="60">
        <v>0</v>
      </c>
    </row>
    <row r="201" spans="1:18" s="154" customFormat="1" ht="71.25" customHeight="1">
      <c r="A201" s="198"/>
      <c r="B201" s="104"/>
      <c r="C201" s="65"/>
      <c r="D201" s="76"/>
      <c r="E201" s="202"/>
      <c r="F201" s="202"/>
      <c r="G201" s="202"/>
      <c r="H201" s="202"/>
      <c r="I201" s="202"/>
      <c r="J201" s="202"/>
      <c r="K201" s="81" t="s">
        <v>703</v>
      </c>
      <c r="L201" s="81" t="s">
        <v>222</v>
      </c>
      <c r="M201" s="81" t="s">
        <v>704</v>
      </c>
      <c r="N201" s="50"/>
      <c r="O201" s="50"/>
      <c r="P201" s="50"/>
      <c r="Q201" s="60"/>
      <c r="R201" s="60"/>
    </row>
    <row r="202" spans="1:18" s="154" customFormat="1" ht="59.25" customHeight="1">
      <c r="A202" s="198"/>
      <c r="B202" s="104"/>
      <c r="C202" s="65"/>
      <c r="D202" s="76" t="s">
        <v>101</v>
      </c>
      <c r="E202" s="202"/>
      <c r="F202" s="202"/>
      <c r="G202" s="202"/>
      <c r="H202" s="202"/>
      <c r="I202" s="202"/>
      <c r="J202" s="202"/>
      <c r="K202" s="81" t="s">
        <v>705</v>
      </c>
      <c r="L202" s="81" t="s">
        <v>222</v>
      </c>
      <c r="M202" s="81" t="s">
        <v>706</v>
      </c>
      <c r="N202" s="50">
        <v>341</v>
      </c>
      <c r="O202" s="50">
        <v>341</v>
      </c>
      <c r="P202" s="50">
        <v>0</v>
      </c>
      <c r="Q202" s="60">
        <v>0</v>
      </c>
      <c r="R202" s="60">
        <v>0</v>
      </c>
    </row>
    <row r="203" spans="1:18" s="154" customFormat="1" ht="21.75" customHeight="1">
      <c r="A203" s="281"/>
      <c r="B203" s="171"/>
      <c r="C203" s="170"/>
      <c r="D203" s="76" t="s">
        <v>101</v>
      </c>
      <c r="E203" s="202"/>
      <c r="F203" s="202"/>
      <c r="G203" s="202"/>
      <c r="H203" s="202"/>
      <c r="I203" s="202"/>
      <c r="J203" s="202"/>
      <c r="K203" s="261" t="s">
        <v>1077</v>
      </c>
      <c r="L203" s="261" t="s">
        <v>173</v>
      </c>
      <c r="M203" s="261" t="s">
        <v>1078</v>
      </c>
      <c r="N203" s="50">
        <v>449.80338</v>
      </c>
      <c r="O203" s="50">
        <f>449803.38/1000</f>
        <v>449.80338</v>
      </c>
      <c r="P203" s="50">
        <v>0</v>
      </c>
      <c r="Q203" s="50">
        <v>0</v>
      </c>
      <c r="R203" s="50">
        <v>0</v>
      </c>
    </row>
    <row r="204" spans="1:18" s="154" customFormat="1" ht="21.75" customHeight="1">
      <c r="A204" s="198"/>
      <c r="B204" s="104"/>
      <c r="C204" s="65"/>
      <c r="D204" s="42" t="s">
        <v>200</v>
      </c>
      <c r="E204" s="202"/>
      <c r="F204" s="202"/>
      <c r="G204" s="202"/>
      <c r="H204" s="202"/>
      <c r="I204" s="202"/>
      <c r="J204" s="202"/>
      <c r="K204" s="261"/>
      <c r="L204" s="261"/>
      <c r="M204" s="261"/>
      <c r="N204" s="50">
        <v>170</v>
      </c>
      <c r="O204" s="50">
        <v>170</v>
      </c>
      <c r="P204" s="50">
        <v>0</v>
      </c>
      <c r="Q204" s="50">
        <v>0</v>
      </c>
      <c r="R204" s="50">
        <v>0</v>
      </c>
    </row>
    <row r="205" spans="1:18" s="154" customFormat="1" ht="21.75" customHeight="1">
      <c r="A205" s="102"/>
      <c r="B205" s="104"/>
      <c r="C205" s="16"/>
      <c r="D205" s="42" t="s">
        <v>12</v>
      </c>
      <c r="E205" s="202"/>
      <c r="F205" s="202"/>
      <c r="G205" s="202"/>
      <c r="H205" s="202"/>
      <c r="I205" s="202"/>
      <c r="J205" s="202"/>
      <c r="K205" s="261"/>
      <c r="L205" s="261"/>
      <c r="M205" s="261"/>
      <c r="N205" s="50">
        <v>542.8</v>
      </c>
      <c r="O205" s="50">
        <v>542.8</v>
      </c>
      <c r="P205" s="50">
        <v>0</v>
      </c>
      <c r="Q205" s="50">
        <v>0</v>
      </c>
      <c r="R205" s="50">
        <v>0</v>
      </c>
    </row>
    <row r="206" spans="1:18" s="154" customFormat="1" ht="21.75" customHeight="1">
      <c r="A206" s="198"/>
      <c r="B206" s="280"/>
      <c r="C206" s="16"/>
      <c r="D206" s="42" t="s">
        <v>200</v>
      </c>
      <c r="E206" s="202"/>
      <c r="F206" s="202"/>
      <c r="G206" s="202"/>
      <c r="H206" s="202"/>
      <c r="I206" s="202"/>
      <c r="J206" s="202"/>
      <c r="K206" s="261"/>
      <c r="L206" s="261"/>
      <c r="M206" s="261"/>
      <c r="N206" s="50">
        <v>51.5855</v>
      </c>
      <c r="O206" s="50">
        <f>51585.5/1000</f>
        <v>51.5855</v>
      </c>
      <c r="P206" s="50">
        <v>0</v>
      </c>
      <c r="Q206" s="50">
        <v>0</v>
      </c>
      <c r="R206" s="50">
        <v>0</v>
      </c>
    </row>
    <row r="207" spans="1:18" s="154" customFormat="1" ht="21.75" customHeight="1">
      <c r="A207" s="230"/>
      <c r="B207" s="210"/>
      <c r="C207" s="16"/>
      <c r="D207" s="44" t="s">
        <v>12</v>
      </c>
      <c r="E207" s="189"/>
      <c r="F207" s="189"/>
      <c r="G207" s="189"/>
      <c r="H207" s="202"/>
      <c r="I207" s="189"/>
      <c r="J207" s="189"/>
      <c r="K207" s="204"/>
      <c r="L207" s="204"/>
      <c r="M207" s="204"/>
      <c r="N207" s="54">
        <v>48.21147</v>
      </c>
      <c r="O207" s="54">
        <f>48211.47/1000</f>
        <v>48.21147</v>
      </c>
      <c r="P207" s="54">
        <v>0</v>
      </c>
      <c r="Q207" s="54">
        <v>0</v>
      </c>
      <c r="R207" s="54">
        <v>0</v>
      </c>
    </row>
    <row r="208" spans="1:18" s="153" customFormat="1" ht="12" customHeight="1">
      <c r="A208" s="34" t="s">
        <v>1110</v>
      </c>
      <c r="B208" s="227" t="s">
        <v>1111</v>
      </c>
      <c r="C208" s="228"/>
      <c r="D208" s="228"/>
      <c r="E208" s="228"/>
      <c r="F208" s="228"/>
      <c r="G208" s="228"/>
      <c r="H208" s="228"/>
      <c r="I208" s="228"/>
      <c r="J208" s="228"/>
      <c r="K208" s="228"/>
      <c r="L208" s="228"/>
      <c r="M208" s="229"/>
      <c r="N208" s="46"/>
      <c r="O208" s="46"/>
      <c r="P208" s="46"/>
      <c r="Q208" s="46"/>
      <c r="R208" s="46"/>
    </row>
    <row r="209" spans="1:18" s="153" customFormat="1" ht="22.5" customHeight="1">
      <c r="A209" s="34" t="s">
        <v>1112</v>
      </c>
      <c r="B209" s="227" t="s">
        <v>1113</v>
      </c>
      <c r="C209" s="228"/>
      <c r="D209" s="228"/>
      <c r="E209" s="228"/>
      <c r="F209" s="228"/>
      <c r="G209" s="228"/>
      <c r="H209" s="228"/>
      <c r="I209" s="228"/>
      <c r="J209" s="228"/>
      <c r="K209" s="228"/>
      <c r="L209" s="228"/>
      <c r="M209" s="229"/>
      <c r="N209" s="46"/>
      <c r="O209" s="46"/>
      <c r="P209" s="46"/>
      <c r="Q209" s="46"/>
      <c r="R209" s="46"/>
    </row>
    <row r="210" spans="1:18" s="153" customFormat="1" ht="12" customHeight="1">
      <c r="A210" s="34" t="s">
        <v>1114</v>
      </c>
      <c r="B210" s="227" t="s">
        <v>1115</v>
      </c>
      <c r="C210" s="228"/>
      <c r="D210" s="228"/>
      <c r="E210" s="228"/>
      <c r="F210" s="228"/>
      <c r="G210" s="228"/>
      <c r="H210" s="228"/>
      <c r="I210" s="228"/>
      <c r="J210" s="228"/>
      <c r="K210" s="228"/>
      <c r="L210" s="228"/>
      <c r="M210" s="229"/>
      <c r="N210" s="46"/>
      <c r="O210" s="46"/>
      <c r="P210" s="46"/>
      <c r="Q210" s="46"/>
      <c r="R210" s="46"/>
    </row>
    <row r="211" spans="1:18" s="153" customFormat="1" ht="24" customHeight="1">
      <c r="A211" s="34" t="s">
        <v>1116</v>
      </c>
      <c r="B211" s="227" t="s">
        <v>1117</v>
      </c>
      <c r="C211" s="228"/>
      <c r="D211" s="228"/>
      <c r="E211" s="228"/>
      <c r="F211" s="228"/>
      <c r="G211" s="228"/>
      <c r="H211" s="228"/>
      <c r="I211" s="228"/>
      <c r="J211" s="228"/>
      <c r="K211" s="228"/>
      <c r="L211" s="228"/>
      <c r="M211" s="229"/>
      <c r="N211" s="46">
        <f>SUM(N212:N216)</f>
        <v>1717.53551</v>
      </c>
      <c r="O211" s="46">
        <f>SUM(O212:O216)</f>
        <v>1704.9733899999999</v>
      </c>
      <c r="P211" s="46">
        <f>SUM(P212:P216)</f>
        <v>1066.5</v>
      </c>
      <c r="Q211" s="46">
        <f>SUM(Q212:Q216)</f>
        <v>1122.2</v>
      </c>
      <c r="R211" s="46">
        <f>SUM(R212:R216)</f>
        <v>1177.6</v>
      </c>
    </row>
    <row r="212" spans="1:18" s="155" customFormat="1" ht="50.25" customHeight="1">
      <c r="A212" s="79"/>
      <c r="B212" s="21" t="s">
        <v>46</v>
      </c>
      <c r="C212" s="15"/>
      <c r="D212" s="41" t="s">
        <v>278</v>
      </c>
      <c r="E212" s="17" t="s">
        <v>380</v>
      </c>
      <c r="F212" s="17" t="s">
        <v>50</v>
      </c>
      <c r="G212" s="17" t="s">
        <v>381</v>
      </c>
      <c r="H212" s="17"/>
      <c r="I212" s="17"/>
      <c r="J212" s="17"/>
      <c r="K212" s="30" t="s">
        <v>1139</v>
      </c>
      <c r="L212" s="26" t="s">
        <v>222</v>
      </c>
      <c r="M212" s="26" t="s">
        <v>1138</v>
      </c>
      <c r="N212" s="49">
        <v>524</v>
      </c>
      <c r="O212" s="49">
        <f>515239.39/1000</f>
        <v>515.23939</v>
      </c>
      <c r="P212" s="49">
        <v>386.5</v>
      </c>
      <c r="Q212" s="52">
        <v>406.6</v>
      </c>
      <c r="R212" s="52">
        <v>426.5</v>
      </c>
    </row>
    <row r="213" spans="1:18" s="155" customFormat="1" ht="51.75" customHeight="1">
      <c r="A213" s="34"/>
      <c r="B213" s="7" t="s">
        <v>522</v>
      </c>
      <c r="C213" s="8"/>
      <c r="D213" s="40" t="s">
        <v>278</v>
      </c>
      <c r="E213" s="17" t="s">
        <v>380</v>
      </c>
      <c r="F213" s="17" t="s">
        <v>50</v>
      </c>
      <c r="G213" s="17" t="s">
        <v>381</v>
      </c>
      <c r="H213" s="3"/>
      <c r="I213" s="3"/>
      <c r="J213" s="3"/>
      <c r="K213" s="80" t="s">
        <v>1283</v>
      </c>
      <c r="L213" s="26" t="s">
        <v>1284</v>
      </c>
      <c r="M213" s="26" t="s">
        <v>1246</v>
      </c>
      <c r="N213" s="49">
        <v>0</v>
      </c>
      <c r="O213" s="49">
        <v>0</v>
      </c>
      <c r="P213" s="47">
        <v>300</v>
      </c>
      <c r="Q213" s="48">
        <v>315.6</v>
      </c>
      <c r="R213" s="48">
        <v>331.1</v>
      </c>
    </row>
    <row r="214" spans="1:18" s="159" customFormat="1" ht="82.5" customHeight="1" outlineLevel="1">
      <c r="A214" s="39"/>
      <c r="B214" s="7" t="s">
        <v>285</v>
      </c>
      <c r="C214" s="9"/>
      <c r="D214" s="40" t="s">
        <v>271</v>
      </c>
      <c r="E214" s="188" t="s">
        <v>444</v>
      </c>
      <c r="F214" s="188" t="s">
        <v>62</v>
      </c>
      <c r="G214" s="188" t="s">
        <v>445</v>
      </c>
      <c r="H214" s="188" t="s">
        <v>498</v>
      </c>
      <c r="I214" s="188" t="s">
        <v>499</v>
      </c>
      <c r="J214" s="188" t="s">
        <v>500</v>
      </c>
      <c r="K214" s="188" t="s">
        <v>614</v>
      </c>
      <c r="L214" s="188" t="s">
        <v>222</v>
      </c>
      <c r="M214" s="188" t="s">
        <v>314</v>
      </c>
      <c r="N214" s="47">
        <v>363</v>
      </c>
      <c r="O214" s="47">
        <f>359198.49/1000</f>
        <v>359.19849</v>
      </c>
      <c r="P214" s="47">
        <v>380</v>
      </c>
      <c r="Q214" s="48">
        <v>400</v>
      </c>
      <c r="R214" s="48">
        <v>420</v>
      </c>
    </row>
    <row r="215" spans="1:18" s="159" customFormat="1" ht="47.25" customHeight="1" outlineLevel="1">
      <c r="A215" s="39"/>
      <c r="B215" s="28" t="s">
        <v>497</v>
      </c>
      <c r="C215" s="9"/>
      <c r="D215" s="199" t="s">
        <v>271</v>
      </c>
      <c r="E215" s="202"/>
      <c r="F215" s="202"/>
      <c r="G215" s="202"/>
      <c r="H215" s="202"/>
      <c r="I215" s="202"/>
      <c r="J215" s="202"/>
      <c r="K215" s="202"/>
      <c r="L215" s="202"/>
      <c r="M215" s="202"/>
      <c r="N215" s="47">
        <v>471.33702</v>
      </c>
      <c r="O215" s="47">
        <f>471337.02/1000</f>
        <v>471.33702</v>
      </c>
      <c r="P215" s="47">
        <v>0</v>
      </c>
      <c r="Q215" s="48">
        <v>0</v>
      </c>
      <c r="R215" s="48">
        <v>0</v>
      </c>
    </row>
    <row r="216" spans="1:18" s="159" customFormat="1" ht="38.25" customHeight="1" outlineLevel="1">
      <c r="A216" s="38"/>
      <c r="B216" s="28" t="s">
        <v>1060</v>
      </c>
      <c r="C216" s="8"/>
      <c r="D216" s="239"/>
      <c r="E216" s="189"/>
      <c r="F216" s="189"/>
      <c r="G216" s="189"/>
      <c r="H216" s="189"/>
      <c r="I216" s="189"/>
      <c r="J216" s="189"/>
      <c r="K216" s="189"/>
      <c r="L216" s="189"/>
      <c r="M216" s="189"/>
      <c r="N216" s="47">
        <v>359.19849</v>
      </c>
      <c r="O216" s="47">
        <f>359198.49/1000</f>
        <v>359.19849</v>
      </c>
      <c r="P216" s="47">
        <v>0</v>
      </c>
      <c r="Q216" s="48">
        <v>0</v>
      </c>
      <c r="R216" s="48">
        <v>0</v>
      </c>
    </row>
    <row r="217" spans="1:18" s="153" customFormat="1" ht="11.25" customHeight="1">
      <c r="A217" s="34" t="s">
        <v>1118</v>
      </c>
      <c r="B217" s="227" t="s">
        <v>1119</v>
      </c>
      <c r="C217" s="228"/>
      <c r="D217" s="228"/>
      <c r="E217" s="228"/>
      <c r="F217" s="228"/>
      <c r="G217" s="228"/>
      <c r="H217" s="228"/>
      <c r="I217" s="228"/>
      <c r="J217" s="228"/>
      <c r="K217" s="228"/>
      <c r="L217" s="228"/>
      <c r="M217" s="229"/>
      <c r="N217" s="46"/>
      <c r="O217" s="46"/>
      <c r="P217" s="46"/>
      <c r="Q217" s="46"/>
      <c r="R217" s="46"/>
    </row>
    <row r="218" spans="1:18" s="153" customFormat="1" ht="24.75" customHeight="1">
      <c r="A218" s="34" t="s">
        <v>128</v>
      </c>
      <c r="B218" s="227" t="s">
        <v>1120</v>
      </c>
      <c r="C218" s="228"/>
      <c r="D218" s="228"/>
      <c r="E218" s="228"/>
      <c r="F218" s="228"/>
      <c r="G218" s="228"/>
      <c r="H218" s="228"/>
      <c r="I218" s="228"/>
      <c r="J218" s="228"/>
      <c r="K218" s="228"/>
      <c r="L218" s="228"/>
      <c r="M218" s="229"/>
      <c r="N218" s="46">
        <f>SUM(N219:N345)</f>
        <v>298443.29574999993</v>
      </c>
      <c r="O218" s="46">
        <f>SUM(O219:O345)</f>
        <v>266673.69811999996</v>
      </c>
      <c r="P218" s="46">
        <f>SUM(P219:P345)</f>
        <v>129192.45241999999</v>
      </c>
      <c r="Q218" s="46">
        <f>SUM(Q219:Q345)</f>
        <v>89350.99999999999</v>
      </c>
      <c r="R218" s="46">
        <f>SUM(R219:R345)</f>
        <v>94672.4</v>
      </c>
    </row>
    <row r="219" spans="1:18" s="156" customFormat="1" ht="84.75" customHeight="1">
      <c r="A219" s="111">
        <v>587</v>
      </c>
      <c r="B219" s="114" t="s">
        <v>284</v>
      </c>
      <c r="C219" s="31"/>
      <c r="D219" s="116" t="s">
        <v>864</v>
      </c>
      <c r="E219" s="112"/>
      <c r="F219" s="112"/>
      <c r="G219" s="112"/>
      <c r="H219" s="112" t="s">
        <v>487</v>
      </c>
      <c r="I219" s="112" t="s">
        <v>866</v>
      </c>
      <c r="J219" s="112" t="s">
        <v>386</v>
      </c>
      <c r="K219" s="110" t="s">
        <v>1050</v>
      </c>
      <c r="L219" s="110" t="s">
        <v>865</v>
      </c>
      <c r="M219" s="110" t="s">
        <v>1051</v>
      </c>
      <c r="N219" s="47">
        <v>39</v>
      </c>
      <c r="O219" s="47">
        <f>38430/1000</f>
        <v>38.43</v>
      </c>
      <c r="P219" s="47">
        <v>39.1</v>
      </c>
      <c r="Q219" s="48">
        <v>39.1</v>
      </c>
      <c r="R219" s="48">
        <v>39.1</v>
      </c>
    </row>
    <row r="220" spans="1:18" s="156" customFormat="1" ht="109.5" customHeight="1">
      <c r="A220" s="111">
        <v>590</v>
      </c>
      <c r="B220" s="114" t="s">
        <v>56</v>
      </c>
      <c r="C220" s="31"/>
      <c r="D220" s="116" t="s">
        <v>156</v>
      </c>
      <c r="E220" s="112"/>
      <c r="F220" s="112"/>
      <c r="G220" s="112"/>
      <c r="H220" s="112" t="s">
        <v>867</v>
      </c>
      <c r="I220" s="112"/>
      <c r="J220" s="112" t="s">
        <v>868</v>
      </c>
      <c r="K220" s="110" t="s">
        <v>869</v>
      </c>
      <c r="L220" s="110" t="s">
        <v>222</v>
      </c>
      <c r="M220" s="110" t="s">
        <v>870</v>
      </c>
      <c r="N220" s="47">
        <v>110.8</v>
      </c>
      <c r="O220" s="47">
        <v>110.8</v>
      </c>
      <c r="P220" s="47">
        <v>108.8</v>
      </c>
      <c r="Q220" s="48">
        <v>108.8</v>
      </c>
      <c r="R220" s="48">
        <v>108.8</v>
      </c>
    </row>
    <row r="221" spans="1:18" s="156" customFormat="1" ht="106.5" customHeight="1">
      <c r="A221" s="109">
        <v>584</v>
      </c>
      <c r="B221" s="31" t="s">
        <v>871</v>
      </c>
      <c r="C221" s="31"/>
      <c r="D221" s="116" t="s">
        <v>872</v>
      </c>
      <c r="E221" s="110" t="s">
        <v>874</v>
      </c>
      <c r="F221" s="110" t="s">
        <v>875</v>
      </c>
      <c r="G221" s="110" t="s">
        <v>876</v>
      </c>
      <c r="H221" s="110" t="s">
        <v>877</v>
      </c>
      <c r="I221" s="110" t="s">
        <v>402</v>
      </c>
      <c r="J221" s="110" t="s">
        <v>113</v>
      </c>
      <c r="K221" s="110" t="s">
        <v>1236</v>
      </c>
      <c r="L221" s="110"/>
      <c r="M221" s="110" t="s">
        <v>1138</v>
      </c>
      <c r="N221" s="47">
        <v>1133.4</v>
      </c>
      <c r="O221" s="47">
        <v>1133.4</v>
      </c>
      <c r="P221" s="47">
        <v>1095.3</v>
      </c>
      <c r="Q221" s="48">
        <v>1158.3</v>
      </c>
      <c r="R221" s="48">
        <v>1160.7</v>
      </c>
    </row>
    <row r="222" spans="1:18" s="154" customFormat="1" ht="96.75" customHeight="1">
      <c r="A222" s="197">
        <v>552</v>
      </c>
      <c r="B222" s="231" t="s">
        <v>234</v>
      </c>
      <c r="C222" s="11"/>
      <c r="D222" s="199" t="s">
        <v>184</v>
      </c>
      <c r="E222" s="188" t="s">
        <v>181</v>
      </c>
      <c r="F222" s="188" t="s">
        <v>182</v>
      </c>
      <c r="G222" s="188" t="s">
        <v>860</v>
      </c>
      <c r="H222" s="188" t="s">
        <v>432</v>
      </c>
      <c r="I222" s="188" t="s">
        <v>180</v>
      </c>
      <c r="J222" s="188" t="s">
        <v>179</v>
      </c>
      <c r="K222" s="188" t="s">
        <v>576</v>
      </c>
      <c r="L222" s="188" t="s">
        <v>222</v>
      </c>
      <c r="M222" s="188" t="s">
        <v>197</v>
      </c>
      <c r="N222" s="186">
        <v>4581.33</v>
      </c>
      <c r="O222" s="49">
        <f>4470778/1000</f>
        <v>4470.778</v>
      </c>
      <c r="P222" s="186">
        <v>4954.5</v>
      </c>
      <c r="Q222" s="233">
        <v>4954.5</v>
      </c>
      <c r="R222" s="233">
        <v>4954.5</v>
      </c>
    </row>
    <row r="223" spans="1:18" s="154" customFormat="1" ht="37.5" customHeight="1" hidden="1">
      <c r="A223" s="230"/>
      <c r="B223" s="246"/>
      <c r="C223" s="11"/>
      <c r="D223" s="200"/>
      <c r="E223" s="202"/>
      <c r="F223" s="202"/>
      <c r="G223" s="202"/>
      <c r="H223" s="202"/>
      <c r="I223" s="202"/>
      <c r="J223" s="202"/>
      <c r="K223" s="202"/>
      <c r="L223" s="202"/>
      <c r="M223" s="202"/>
      <c r="N223" s="187"/>
      <c r="O223" s="54"/>
      <c r="P223" s="187"/>
      <c r="Q223" s="247"/>
      <c r="R223" s="247"/>
    </row>
    <row r="224" spans="1:18" s="157" customFormat="1" ht="85.5" customHeight="1">
      <c r="A224" s="172">
        <v>649</v>
      </c>
      <c r="B224" s="28" t="s">
        <v>761</v>
      </c>
      <c r="C224" s="173"/>
      <c r="D224" s="239"/>
      <c r="E224" s="189"/>
      <c r="F224" s="189"/>
      <c r="G224" s="189"/>
      <c r="H224" s="189"/>
      <c r="I224" s="189"/>
      <c r="J224" s="189"/>
      <c r="K224" s="189"/>
      <c r="L224" s="189"/>
      <c r="M224" s="189"/>
      <c r="N224" s="57">
        <v>2117.35</v>
      </c>
      <c r="O224" s="57">
        <v>1743</v>
      </c>
      <c r="P224" s="57">
        <v>0</v>
      </c>
      <c r="Q224" s="57">
        <v>0</v>
      </c>
      <c r="R224" s="57">
        <v>0</v>
      </c>
    </row>
    <row r="225" spans="1:18" s="155" customFormat="1" ht="131.25" customHeight="1">
      <c r="A225" s="34"/>
      <c r="B225" s="28" t="s">
        <v>1071</v>
      </c>
      <c r="C225" s="8"/>
      <c r="D225" s="164" t="s">
        <v>184</v>
      </c>
      <c r="E225" s="3" t="s">
        <v>181</v>
      </c>
      <c r="F225" s="3" t="s">
        <v>182</v>
      </c>
      <c r="G225" s="3" t="s">
        <v>860</v>
      </c>
      <c r="H225" s="3" t="s">
        <v>1125</v>
      </c>
      <c r="I225" s="3" t="s">
        <v>173</v>
      </c>
      <c r="J225" s="3" t="s">
        <v>530</v>
      </c>
      <c r="K225" s="80" t="s">
        <v>937</v>
      </c>
      <c r="L225" s="26" t="s">
        <v>173</v>
      </c>
      <c r="M225" s="26" t="s">
        <v>899</v>
      </c>
      <c r="N225" s="47">
        <v>2400.74</v>
      </c>
      <c r="O225" s="47">
        <v>0</v>
      </c>
      <c r="P225" s="47">
        <v>0</v>
      </c>
      <c r="Q225" s="47">
        <v>0</v>
      </c>
      <c r="R225" s="47">
        <v>0</v>
      </c>
    </row>
    <row r="226" spans="1:18" s="157" customFormat="1" ht="48.75" customHeight="1">
      <c r="A226" s="282">
        <v>617</v>
      </c>
      <c r="B226" s="232" t="s">
        <v>623</v>
      </c>
      <c r="C226" s="113"/>
      <c r="D226" s="286" t="s">
        <v>184</v>
      </c>
      <c r="E226" s="266" t="s">
        <v>181</v>
      </c>
      <c r="F226" s="266" t="s">
        <v>182</v>
      </c>
      <c r="G226" s="266" t="s">
        <v>860</v>
      </c>
      <c r="H226" s="266"/>
      <c r="I226" s="266"/>
      <c r="J226" s="266"/>
      <c r="K226" s="119" t="s">
        <v>937</v>
      </c>
      <c r="L226" s="113" t="s">
        <v>173</v>
      </c>
      <c r="M226" s="113" t="s">
        <v>899</v>
      </c>
      <c r="N226" s="291">
        <v>7592.516</v>
      </c>
      <c r="O226" s="291">
        <f>7215584/1000</f>
        <v>7215.584</v>
      </c>
      <c r="P226" s="291">
        <v>0</v>
      </c>
      <c r="Q226" s="291">
        <v>0</v>
      </c>
      <c r="R226" s="291">
        <v>0</v>
      </c>
    </row>
    <row r="227" spans="1:18" s="157" customFormat="1" ht="59.25" customHeight="1">
      <c r="A227" s="282"/>
      <c r="B227" s="232"/>
      <c r="C227" s="110"/>
      <c r="D227" s="286"/>
      <c r="E227" s="266"/>
      <c r="F227" s="266"/>
      <c r="G227" s="266"/>
      <c r="H227" s="266"/>
      <c r="I227" s="266"/>
      <c r="J227" s="266"/>
      <c r="K227" s="119" t="s">
        <v>938</v>
      </c>
      <c r="L227" s="110" t="s">
        <v>865</v>
      </c>
      <c r="M227" s="110" t="s">
        <v>941</v>
      </c>
      <c r="N227" s="291"/>
      <c r="O227" s="291"/>
      <c r="P227" s="291"/>
      <c r="Q227" s="291"/>
      <c r="R227" s="291"/>
    </row>
    <row r="228" spans="1:18" s="157" customFormat="1" ht="72.75" customHeight="1">
      <c r="A228" s="282"/>
      <c r="B228" s="232"/>
      <c r="C228" s="110"/>
      <c r="D228" s="286"/>
      <c r="E228" s="266"/>
      <c r="F228" s="266"/>
      <c r="G228" s="266"/>
      <c r="H228" s="266"/>
      <c r="I228" s="266"/>
      <c r="J228" s="266"/>
      <c r="K228" s="119" t="s">
        <v>939</v>
      </c>
      <c r="L228" s="110" t="s">
        <v>865</v>
      </c>
      <c r="M228" s="120" t="s">
        <v>942</v>
      </c>
      <c r="N228" s="291"/>
      <c r="O228" s="291"/>
      <c r="P228" s="291"/>
      <c r="Q228" s="291"/>
      <c r="R228" s="291"/>
    </row>
    <row r="229" spans="1:18" s="157" customFormat="1" ht="59.25" customHeight="1">
      <c r="A229" s="263"/>
      <c r="B229" s="246"/>
      <c r="C229" s="110"/>
      <c r="D229" s="265"/>
      <c r="E229" s="206"/>
      <c r="F229" s="206"/>
      <c r="G229" s="206"/>
      <c r="H229" s="206"/>
      <c r="I229" s="206"/>
      <c r="J229" s="206"/>
      <c r="K229" s="119" t="s">
        <v>940</v>
      </c>
      <c r="L229" s="110" t="s">
        <v>865</v>
      </c>
      <c r="M229" s="110" t="s">
        <v>943</v>
      </c>
      <c r="N229" s="290"/>
      <c r="O229" s="290"/>
      <c r="P229" s="290"/>
      <c r="Q229" s="290"/>
      <c r="R229" s="290"/>
    </row>
    <row r="230" spans="1:18" s="157" customFormat="1" ht="73.5" customHeight="1">
      <c r="A230" s="109">
        <v>617</v>
      </c>
      <c r="B230" s="176" t="s">
        <v>1214</v>
      </c>
      <c r="C230" s="110"/>
      <c r="D230" s="115" t="s">
        <v>184</v>
      </c>
      <c r="E230" s="205" t="s">
        <v>181</v>
      </c>
      <c r="F230" s="205" t="s">
        <v>1281</v>
      </c>
      <c r="G230" s="205" t="s">
        <v>860</v>
      </c>
      <c r="H230" s="205"/>
      <c r="I230" s="205"/>
      <c r="J230" s="205"/>
      <c r="K230" s="273" t="s">
        <v>937</v>
      </c>
      <c r="L230" s="203" t="s">
        <v>173</v>
      </c>
      <c r="M230" s="203" t="s">
        <v>899</v>
      </c>
      <c r="N230" s="57">
        <v>0</v>
      </c>
      <c r="O230" s="57">
        <v>0</v>
      </c>
      <c r="P230" s="57">
        <v>2885.733</v>
      </c>
      <c r="Q230" s="57">
        <v>0</v>
      </c>
      <c r="R230" s="57">
        <v>0</v>
      </c>
    </row>
    <row r="231" spans="1:18" s="155" customFormat="1" ht="60.75" customHeight="1">
      <c r="A231" s="88"/>
      <c r="B231" s="27" t="s">
        <v>1267</v>
      </c>
      <c r="C231" s="8"/>
      <c r="D231" s="64" t="s">
        <v>184</v>
      </c>
      <c r="E231" s="206"/>
      <c r="F231" s="206"/>
      <c r="G231" s="206"/>
      <c r="H231" s="206"/>
      <c r="I231" s="206"/>
      <c r="J231" s="206"/>
      <c r="K231" s="274"/>
      <c r="L231" s="204"/>
      <c r="M231" s="204"/>
      <c r="N231" s="54">
        <v>0</v>
      </c>
      <c r="O231" s="54">
        <v>0</v>
      </c>
      <c r="P231" s="54">
        <v>129.2</v>
      </c>
      <c r="Q231" s="54">
        <v>0</v>
      </c>
      <c r="R231" s="54">
        <v>0</v>
      </c>
    </row>
    <row r="232" spans="1:18" s="156" customFormat="1" ht="87" customHeight="1">
      <c r="A232" s="109">
        <v>566</v>
      </c>
      <c r="B232" s="31" t="s">
        <v>281</v>
      </c>
      <c r="C232" s="31"/>
      <c r="D232" s="115" t="s">
        <v>156</v>
      </c>
      <c r="E232" s="110"/>
      <c r="F232" s="110"/>
      <c r="G232" s="110"/>
      <c r="H232" s="110" t="s">
        <v>487</v>
      </c>
      <c r="I232" s="110" t="s">
        <v>878</v>
      </c>
      <c r="J232" s="110" t="s">
        <v>386</v>
      </c>
      <c r="K232" s="110" t="s">
        <v>1195</v>
      </c>
      <c r="L232" s="110" t="s">
        <v>1141</v>
      </c>
      <c r="M232" s="110" t="s">
        <v>1138</v>
      </c>
      <c r="N232" s="47">
        <v>2072.3</v>
      </c>
      <c r="O232" s="47">
        <f>1622759.98/1000</f>
        <v>1622.75998</v>
      </c>
      <c r="P232" s="47">
        <v>2010.6</v>
      </c>
      <c r="Q232" s="48">
        <v>2129.3</v>
      </c>
      <c r="R232" s="48">
        <v>2208.7</v>
      </c>
    </row>
    <row r="233" spans="1:18" s="157" customFormat="1" ht="72.75" customHeight="1">
      <c r="A233" s="109">
        <v>567</v>
      </c>
      <c r="B233" s="31" t="s">
        <v>282</v>
      </c>
      <c r="C233" s="110"/>
      <c r="D233" s="115" t="s">
        <v>609</v>
      </c>
      <c r="E233" s="110"/>
      <c r="F233" s="110"/>
      <c r="G233" s="110"/>
      <c r="H233" s="110" t="s">
        <v>879</v>
      </c>
      <c r="I233" s="110" t="s">
        <v>462</v>
      </c>
      <c r="J233" s="110" t="s">
        <v>75</v>
      </c>
      <c r="K233" s="110" t="s">
        <v>1156</v>
      </c>
      <c r="L233" s="110" t="s">
        <v>1141</v>
      </c>
      <c r="M233" s="110" t="s">
        <v>1194</v>
      </c>
      <c r="N233" s="47">
        <v>4407.7</v>
      </c>
      <c r="O233" s="47">
        <f>4351275.3/1000</f>
        <v>4351.2753</v>
      </c>
      <c r="P233" s="47">
        <v>4628</v>
      </c>
      <c r="Q233" s="48">
        <v>4690.5</v>
      </c>
      <c r="R233" s="48">
        <v>4752.4</v>
      </c>
    </row>
    <row r="234" spans="1:18" s="157" customFormat="1" ht="84" customHeight="1">
      <c r="A234" s="102">
        <v>585</v>
      </c>
      <c r="B234" s="31" t="s">
        <v>516</v>
      </c>
      <c r="C234" s="65"/>
      <c r="D234" s="42" t="s">
        <v>224</v>
      </c>
      <c r="E234" s="18"/>
      <c r="F234" s="18"/>
      <c r="G234" s="110"/>
      <c r="H234" s="110" t="s">
        <v>487</v>
      </c>
      <c r="I234" s="110" t="s">
        <v>881</v>
      </c>
      <c r="J234" s="110" t="s">
        <v>386</v>
      </c>
      <c r="K234" s="110" t="s">
        <v>1208</v>
      </c>
      <c r="L234" s="110" t="s">
        <v>1209</v>
      </c>
      <c r="M234" s="110" t="s">
        <v>1210</v>
      </c>
      <c r="N234" s="47">
        <v>15234.0852</v>
      </c>
      <c r="O234" s="47">
        <f>15234085.2/1000</f>
        <v>15234.0852</v>
      </c>
      <c r="P234" s="47">
        <v>12072</v>
      </c>
      <c r="Q234" s="48">
        <v>6520</v>
      </c>
      <c r="R234" s="48">
        <v>6520</v>
      </c>
    </row>
    <row r="235" spans="1:18" s="157" customFormat="1" ht="83.25" customHeight="1">
      <c r="A235" s="109">
        <v>300</v>
      </c>
      <c r="B235" s="31" t="s">
        <v>516</v>
      </c>
      <c r="C235" s="110"/>
      <c r="D235" s="115" t="s">
        <v>224</v>
      </c>
      <c r="E235" s="110"/>
      <c r="F235" s="110"/>
      <c r="G235" s="110"/>
      <c r="H235" s="110"/>
      <c r="I235" s="110"/>
      <c r="J235" s="110"/>
      <c r="K235" s="110" t="s">
        <v>882</v>
      </c>
      <c r="L235" s="110" t="s">
        <v>173</v>
      </c>
      <c r="M235" s="110" t="s">
        <v>883</v>
      </c>
      <c r="N235" s="47">
        <v>9501.40132</v>
      </c>
      <c r="O235" s="47">
        <f>9501401.32/1000</f>
        <v>9501.40132</v>
      </c>
      <c r="P235" s="57">
        <v>0</v>
      </c>
      <c r="Q235" s="57">
        <v>0</v>
      </c>
      <c r="R235" s="57">
        <v>0</v>
      </c>
    </row>
    <row r="236" spans="1:18" s="157" customFormat="1" ht="86.25" customHeight="1">
      <c r="A236" s="109">
        <v>579</v>
      </c>
      <c r="B236" s="31" t="s">
        <v>283</v>
      </c>
      <c r="C236" s="110"/>
      <c r="D236" s="115" t="s">
        <v>131</v>
      </c>
      <c r="E236" s="110"/>
      <c r="F236" s="110"/>
      <c r="G236" s="110"/>
      <c r="H236" s="110" t="s">
        <v>487</v>
      </c>
      <c r="I236" s="110" t="s">
        <v>884</v>
      </c>
      <c r="J236" s="110" t="s">
        <v>386</v>
      </c>
      <c r="K236" s="110" t="s">
        <v>885</v>
      </c>
      <c r="L236" s="110" t="s">
        <v>103</v>
      </c>
      <c r="M236" s="110" t="s">
        <v>886</v>
      </c>
      <c r="N236" s="47">
        <v>16858.7</v>
      </c>
      <c r="O236" s="47">
        <f>15950678.36/1000</f>
        <v>15950.67836</v>
      </c>
      <c r="P236" s="47">
        <v>20667</v>
      </c>
      <c r="Q236" s="48">
        <v>23446</v>
      </c>
      <c r="R236" s="48">
        <v>26484</v>
      </c>
    </row>
    <row r="237" spans="1:18" s="157" customFormat="1" ht="96.75" customHeight="1">
      <c r="A237" s="262">
        <v>301</v>
      </c>
      <c r="B237" s="283" t="s">
        <v>372</v>
      </c>
      <c r="C237" s="110"/>
      <c r="D237" s="264" t="s">
        <v>545</v>
      </c>
      <c r="E237" s="205"/>
      <c r="F237" s="205"/>
      <c r="G237" s="205"/>
      <c r="H237" s="205"/>
      <c r="I237" s="205"/>
      <c r="J237" s="205"/>
      <c r="K237" s="121" t="s">
        <v>887</v>
      </c>
      <c r="L237" s="112" t="s">
        <v>173</v>
      </c>
      <c r="M237" s="112" t="s">
        <v>316</v>
      </c>
      <c r="N237" s="186">
        <v>1270</v>
      </c>
      <c r="O237" s="186">
        <v>1270</v>
      </c>
      <c r="P237" s="186">
        <v>0</v>
      </c>
      <c r="Q237" s="233">
        <v>0</v>
      </c>
      <c r="R237" s="233">
        <v>0</v>
      </c>
    </row>
    <row r="238" spans="1:18" s="157" customFormat="1" ht="84" customHeight="1">
      <c r="A238" s="282"/>
      <c r="B238" s="284"/>
      <c r="C238" s="110"/>
      <c r="D238" s="286"/>
      <c r="E238" s="266"/>
      <c r="F238" s="266"/>
      <c r="G238" s="266"/>
      <c r="H238" s="266"/>
      <c r="I238" s="266"/>
      <c r="J238" s="266"/>
      <c r="K238" s="121" t="s">
        <v>888</v>
      </c>
      <c r="L238" s="117" t="s">
        <v>173</v>
      </c>
      <c r="M238" s="117" t="s">
        <v>890</v>
      </c>
      <c r="N238" s="235"/>
      <c r="O238" s="235"/>
      <c r="P238" s="235"/>
      <c r="Q238" s="234"/>
      <c r="R238" s="234"/>
    </row>
    <row r="239" spans="1:18" s="157" customFormat="1" ht="82.5" customHeight="1">
      <c r="A239" s="263"/>
      <c r="B239" s="285"/>
      <c r="C239" s="110"/>
      <c r="D239" s="265"/>
      <c r="E239" s="206"/>
      <c r="F239" s="206"/>
      <c r="G239" s="206"/>
      <c r="H239" s="206"/>
      <c r="I239" s="206"/>
      <c r="J239" s="206"/>
      <c r="K239" s="121" t="s">
        <v>889</v>
      </c>
      <c r="L239" s="113" t="s">
        <v>173</v>
      </c>
      <c r="M239" s="113" t="s">
        <v>891</v>
      </c>
      <c r="N239" s="187"/>
      <c r="O239" s="187"/>
      <c r="P239" s="187"/>
      <c r="Q239" s="247"/>
      <c r="R239" s="247"/>
    </row>
    <row r="240" spans="1:18" s="157" customFormat="1" ht="84.75" customHeight="1">
      <c r="A240" s="182">
        <v>34</v>
      </c>
      <c r="B240" s="20" t="s">
        <v>463</v>
      </c>
      <c r="C240" s="110"/>
      <c r="D240" s="116" t="s">
        <v>201</v>
      </c>
      <c r="E240" s="183"/>
      <c r="F240" s="183"/>
      <c r="G240" s="183"/>
      <c r="H240" s="112" t="s">
        <v>1004</v>
      </c>
      <c r="I240" s="112" t="s">
        <v>1005</v>
      </c>
      <c r="J240" s="112" t="s">
        <v>386</v>
      </c>
      <c r="K240" s="110" t="s">
        <v>892</v>
      </c>
      <c r="L240" s="113" t="s">
        <v>173</v>
      </c>
      <c r="M240" s="113" t="s">
        <v>893</v>
      </c>
      <c r="N240" s="142">
        <v>321.5</v>
      </c>
      <c r="O240" s="142">
        <v>321.5</v>
      </c>
      <c r="P240" s="142">
        <v>0</v>
      </c>
      <c r="Q240" s="143">
        <v>0</v>
      </c>
      <c r="R240" s="143">
        <v>0</v>
      </c>
    </row>
    <row r="241" spans="1:18" s="157" customFormat="1" ht="94.5" customHeight="1">
      <c r="A241" s="109">
        <v>632</v>
      </c>
      <c r="B241" s="7" t="s">
        <v>474</v>
      </c>
      <c r="C241" s="110"/>
      <c r="D241" s="115" t="s">
        <v>11</v>
      </c>
      <c r="E241" s="110"/>
      <c r="F241" s="110"/>
      <c r="G241" s="110"/>
      <c r="H241" s="110" t="s">
        <v>1000</v>
      </c>
      <c r="I241" s="110" t="s">
        <v>1001</v>
      </c>
      <c r="J241" s="110" t="s">
        <v>1002</v>
      </c>
      <c r="K241" s="110" t="s">
        <v>895</v>
      </c>
      <c r="L241" s="110" t="s">
        <v>173</v>
      </c>
      <c r="M241" s="110" t="s">
        <v>1243</v>
      </c>
      <c r="N241" s="47">
        <v>482.59738</v>
      </c>
      <c r="O241" s="47">
        <f>482597.38/1000</f>
        <v>482.59738</v>
      </c>
      <c r="P241" s="47">
        <v>0</v>
      </c>
      <c r="Q241" s="48">
        <v>0</v>
      </c>
      <c r="R241" s="48">
        <v>0</v>
      </c>
    </row>
    <row r="242" spans="1:18" s="157" customFormat="1" ht="60" customHeight="1">
      <c r="A242" s="262">
        <v>34</v>
      </c>
      <c r="B242" s="231" t="s">
        <v>479</v>
      </c>
      <c r="C242" s="110"/>
      <c r="D242" s="264" t="s">
        <v>184</v>
      </c>
      <c r="E242" s="185"/>
      <c r="F242" s="185"/>
      <c r="G242" s="185"/>
      <c r="H242" s="185"/>
      <c r="I242" s="185"/>
      <c r="J242" s="185"/>
      <c r="K242" s="121" t="s">
        <v>897</v>
      </c>
      <c r="L242" s="117" t="s">
        <v>173</v>
      </c>
      <c r="M242" s="117" t="s">
        <v>898</v>
      </c>
      <c r="N242" s="186">
        <v>303.518</v>
      </c>
      <c r="O242" s="186">
        <f>303518/1000</f>
        <v>303.518</v>
      </c>
      <c r="P242" s="186">
        <v>0</v>
      </c>
      <c r="Q242" s="233">
        <v>0</v>
      </c>
      <c r="R242" s="233">
        <v>0</v>
      </c>
    </row>
    <row r="243" spans="1:18" s="157" customFormat="1" ht="48.75" customHeight="1">
      <c r="A243" s="263"/>
      <c r="B243" s="246"/>
      <c r="C243" s="110"/>
      <c r="D243" s="265"/>
      <c r="E243" s="184"/>
      <c r="F243" s="184"/>
      <c r="G243" s="184"/>
      <c r="H243" s="184"/>
      <c r="I243" s="184"/>
      <c r="J243" s="184"/>
      <c r="K243" s="121" t="s">
        <v>896</v>
      </c>
      <c r="L243" s="117" t="s">
        <v>173</v>
      </c>
      <c r="M243" s="117" t="s">
        <v>899</v>
      </c>
      <c r="N243" s="187"/>
      <c r="O243" s="187"/>
      <c r="P243" s="187"/>
      <c r="Q243" s="247"/>
      <c r="R243" s="247"/>
    </row>
    <row r="244" spans="1:18" s="157" customFormat="1" ht="59.25" customHeight="1">
      <c r="A244" s="109">
        <v>34</v>
      </c>
      <c r="B244" s="7" t="s">
        <v>480</v>
      </c>
      <c r="C244" s="110"/>
      <c r="D244" s="115" t="s">
        <v>545</v>
      </c>
      <c r="E244" s="110"/>
      <c r="F244" s="110"/>
      <c r="G244" s="110"/>
      <c r="H244" s="110"/>
      <c r="I244" s="110"/>
      <c r="J244" s="110"/>
      <c r="K244" s="103" t="s">
        <v>900</v>
      </c>
      <c r="L244" s="110" t="s">
        <v>222</v>
      </c>
      <c r="M244" s="110" t="s">
        <v>901</v>
      </c>
      <c r="N244" s="47">
        <v>656.79079</v>
      </c>
      <c r="O244" s="47">
        <f>177379.59/1000</f>
        <v>177.37959</v>
      </c>
      <c r="P244" s="47">
        <v>0</v>
      </c>
      <c r="Q244" s="48">
        <v>0</v>
      </c>
      <c r="R244" s="48">
        <v>0</v>
      </c>
    </row>
    <row r="245" spans="1:18" s="157" customFormat="1" ht="95.25" customHeight="1">
      <c r="A245" s="109">
        <v>34</v>
      </c>
      <c r="B245" s="7" t="s">
        <v>502</v>
      </c>
      <c r="C245" s="110"/>
      <c r="D245" s="115" t="s">
        <v>278</v>
      </c>
      <c r="E245" s="110"/>
      <c r="F245" s="110"/>
      <c r="G245" s="110"/>
      <c r="H245" s="110" t="s">
        <v>1000</v>
      </c>
      <c r="I245" s="110" t="s">
        <v>1001</v>
      </c>
      <c r="J245" s="110" t="s">
        <v>1002</v>
      </c>
      <c r="K245" s="145" t="s">
        <v>902</v>
      </c>
      <c r="L245" s="110" t="s">
        <v>173</v>
      </c>
      <c r="M245" s="110" t="s">
        <v>903</v>
      </c>
      <c r="N245" s="47">
        <v>37.7</v>
      </c>
      <c r="O245" s="47">
        <v>37.7</v>
      </c>
      <c r="P245" s="47">
        <v>0</v>
      </c>
      <c r="Q245" s="48">
        <v>0</v>
      </c>
      <c r="R245" s="48">
        <v>0</v>
      </c>
    </row>
    <row r="246" spans="1:18" s="157" customFormat="1" ht="95.25" customHeight="1">
      <c r="A246" s="109">
        <v>34</v>
      </c>
      <c r="B246" s="7" t="s">
        <v>503</v>
      </c>
      <c r="C246" s="110"/>
      <c r="D246" s="115" t="s">
        <v>11</v>
      </c>
      <c r="E246" s="110"/>
      <c r="F246" s="110"/>
      <c r="G246" s="110"/>
      <c r="H246" s="110" t="s">
        <v>1000</v>
      </c>
      <c r="I246" s="110" t="s">
        <v>1001</v>
      </c>
      <c r="J246" s="110" t="s">
        <v>1002</v>
      </c>
      <c r="K246" s="145" t="s">
        <v>902</v>
      </c>
      <c r="L246" s="110" t="s">
        <v>173</v>
      </c>
      <c r="M246" s="110" t="s">
        <v>903</v>
      </c>
      <c r="N246" s="47">
        <v>74.444</v>
      </c>
      <c r="O246" s="47">
        <f>N246</f>
        <v>74.444</v>
      </c>
      <c r="P246" s="47">
        <v>0</v>
      </c>
      <c r="Q246" s="48">
        <v>0</v>
      </c>
      <c r="R246" s="48">
        <v>0</v>
      </c>
    </row>
    <row r="247" spans="1:18" s="157" customFormat="1" ht="62.25" customHeight="1">
      <c r="A247" s="109">
        <v>34</v>
      </c>
      <c r="B247" s="7" t="s">
        <v>501</v>
      </c>
      <c r="C247" s="110"/>
      <c r="D247" s="115" t="s">
        <v>156</v>
      </c>
      <c r="E247" s="110"/>
      <c r="F247" s="110"/>
      <c r="G247" s="110"/>
      <c r="H247" s="110"/>
      <c r="I247" s="110"/>
      <c r="J247" s="110"/>
      <c r="K247" s="145" t="s">
        <v>904</v>
      </c>
      <c r="L247" s="110" t="s">
        <v>173</v>
      </c>
      <c r="M247" s="110" t="s">
        <v>913</v>
      </c>
      <c r="N247" s="47">
        <v>1132.77054</v>
      </c>
      <c r="O247" s="47">
        <f>1132770.54/1000</f>
        <v>1132.77054</v>
      </c>
      <c r="P247" s="47">
        <v>0</v>
      </c>
      <c r="Q247" s="48">
        <v>0</v>
      </c>
      <c r="R247" s="48">
        <v>0</v>
      </c>
    </row>
    <row r="248" spans="1:18" s="157" customFormat="1" ht="129.75" customHeight="1">
      <c r="A248" s="109">
        <v>34</v>
      </c>
      <c r="B248" s="72" t="s">
        <v>507</v>
      </c>
      <c r="C248" s="110"/>
      <c r="D248" s="115" t="s">
        <v>131</v>
      </c>
      <c r="E248" s="110"/>
      <c r="F248" s="110"/>
      <c r="G248" s="110"/>
      <c r="H248" s="110"/>
      <c r="I248" s="110"/>
      <c r="J248" s="110"/>
      <c r="K248" s="145" t="s">
        <v>906</v>
      </c>
      <c r="L248" s="110" t="s">
        <v>173</v>
      </c>
      <c r="M248" s="110" t="s">
        <v>912</v>
      </c>
      <c r="N248" s="47">
        <v>10357.0082</v>
      </c>
      <c r="O248" s="47">
        <f>10357008.2/1000</f>
        <v>10357.008199999998</v>
      </c>
      <c r="P248" s="47">
        <v>0</v>
      </c>
      <c r="Q248" s="48">
        <v>0</v>
      </c>
      <c r="R248" s="48">
        <v>0</v>
      </c>
    </row>
    <row r="249" spans="1:18" s="157" customFormat="1" ht="91.5" customHeight="1">
      <c r="A249" s="109">
        <v>34</v>
      </c>
      <c r="B249" s="72" t="s">
        <v>509</v>
      </c>
      <c r="C249" s="110"/>
      <c r="D249" s="115" t="s">
        <v>131</v>
      </c>
      <c r="E249" s="110"/>
      <c r="F249" s="110"/>
      <c r="G249" s="110"/>
      <c r="H249" s="110"/>
      <c r="I249" s="110"/>
      <c r="J249" s="110"/>
      <c r="K249" s="145" t="s">
        <v>907</v>
      </c>
      <c r="L249" s="110" t="s">
        <v>173</v>
      </c>
      <c r="M249" s="110" t="s">
        <v>912</v>
      </c>
      <c r="N249" s="47">
        <v>1600</v>
      </c>
      <c r="O249" s="47">
        <v>1600</v>
      </c>
      <c r="P249" s="47">
        <v>0</v>
      </c>
      <c r="Q249" s="48">
        <v>0</v>
      </c>
      <c r="R249" s="48">
        <v>0</v>
      </c>
    </row>
    <row r="250" spans="1:18" s="157" customFormat="1" ht="126.75" customHeight="1">
      <c r="A250" s="109">
        <v>600</v>
      </c>
      <c r="B250" s="71" t="s">
        <v>517</v>
      </c>
      <c r="C250" s="110"/>
      <c r="D250" s="115" t="s">
        <v>224</v>
      </c>
      <c r="E250" s="110"/>
      <c r="F250" s="110"/>
      <c r="G250" s="110"/>
      <c r="H250" s="110"/>
      <c r="I250" s="110"/>
      <c r="J250" s="110"/>
      <c r="K250" s="103" t="s">
        <v>908</v>
      </c>
      <c r="L250" s="110" t="s">
        <v>173</v>
      </c>
      <c r="M250" s="110" t="s">
        <v>911</v>
      </c>
      <c r="N250" s="47">
        <v>47000</v>
      </c>
      <c r="O250" s="47">
        <f>41199779.68/1000</f>
        <v>41199.77968</v>
      </c>
      <c r="P250" s="47">
        <v>0</v>
      </c>
      <c r="Q250" s="48">
        <v>0</v>
      </c>
      <c r="R250" s="48">
        <v>0</v>
      </c>
    </row>
    <row r="251" spans="1:18" s="157" customFormat="1" ht="38.25" customHeight="1">
      <c r="A251" s="109">
        <v>0</v>
      </c>
      <c r="B251" s="7" t="s">
        <v>475</v>
      </c>
      <c r="C251" s="110"/>
      <c r="D251" s="115" t="s">
        <v>894</v>
      </c>
      <c r="E251" s="110"/>
      <c r="F251" s="110"/>
      <c r="G251" s="110"/>
      <c r="H251" s="110"/>
      <c r="I251" s="110"/>
      <c r="J251" s="110"/>
      <c r="K251" s="103" t="s">
        <v>1282</v>
      </c>
      <c r="L251" s="110" t="s">
        <v>1141</v>
      </c>
      <c r="M251" s="110" t="s">
        <v>1138</v>
      </c>
      <c r="N251" s="47">
        <v>26179.4</v>
      </c>
      <c r="O251" s="47">
        <v>26179.4</v>
      </c>
      <c r="P251" s="47">
        <v>41509.2</v>
      </c>
      <c r="Q251" s="48">
        <v>43667.7</v>
      </c>
      <c r="R251" s="48">
        <v>45807.4</v>
      </c>
    </row>
    <row r="252" spans="1:18" s="157" customFormat="1" ht="49.5" customHeight="1">
      <c r="A252" s="109">
        <v>303</v>
      </c>
      <c r="B252" s="7" t="s">
        <v>551</v>
      </c>
      <c r="C252" s="110"/>
      <c r="D252" s="115" t="s">
        <v>131</v>
      </c>
      <c r="E252" s="110"/>
      <c r="F252" s="110"/>
      <c r="G252" s="110"/>
      <c r="H252" s="110"/>
      <c r="I252" s="110"/>
      <c r="J252" s="110"/>
      <c r="K252" s="103" t="s">
        <v>909</v>
      </c>
      <c r="L252" s="110" t="s">
        <v>173</v>
      </c>
      <c r="M252" s="110" t="s">
        <v>910</v>
      </c>
      <c r="N252" s="47">
        <v>58.868</v>
      </c>
      <c r="O252" s="47">
        <f>58868/1000</f>
        <v>58.868</v>
      </c>
      <c r="P252" s="47">
        <v>0</v>
      </c>
      <c r="Q252" s="48">
        <v>0</v>
      </c>
      <c r="R252" s="48">
        <v>0</v>
      </c>
    </row>
    <row r="253" spans="1:18" s="157" customFormat="1" ht="48" customHeight="1">
      <c r="A253" s="109">
        <v>304</v>
      </c>
      <c r="B253" s="7" t="s">
        <v>552</v>
      </c>
      <c r="C253" s="110"/>
      <c r="D253" s="115" t="s">
        <v>864</v>
      </c>
      <c r="E253" s="110"/>
      <c r="F253" s="110"/>
      <c r="G253" s="110"/>
      <c r="H253" s="110"/>
      <c r="I253" s="110"/>
      <c r="J253" s="110"/>
      <c r="K253" s="103" t="s">
        <v>914</v>
      </c>
      <c r="L253" s="110" t="s">
        <v>173</v>
      </c>
      <c r="M253" s="110" t="s">
        <v>910</v>
      </c>
      <c r="N253" s="47">
        <v>2070</v>
      </c>
      <c r="O253" s="47">
        <v>2070</v>
      </c>
      <c r="P253" s="47">
        <v>0</v>
      </c>
      <c r="Q253" s="48">
        <v>0</v>
      </c>
      <c r="R253" s="48">
        <v>0</v>
      </c>
    </row>
    <row r="254" spans="1:18" s="157" customFormat="1" ht="49.5" customHeight="1">
      <c r="A254" s="109">
        <v>305</v>
      </c>
      <c r="B254" s="7" t="s">
        <v>553</v>
      </c>
      <c r="C254" s="110"/>
      <c r="D254" s="115" t="s">
        <v>131</v>
      </c>
      <c r="E254" s="110"/>
      <c r="F254" s="110"/>
      <c r="G254" s="110"/>
      <c r="H254" s="110"/>
      <c r="I254" s="110"/>
      <c r="J254" s="110"/>
      <c r="K254" s="103" t="s">
        <v>915</v>
      </c>
      <c r="L254" s="110" t="s">
        <v>173</v>
      </c>
      <c r="M254" s="110" t="s">
        <v>910</v>
      </c>
      <c r="N254" s="47">
        <v>2350</v>
      </c>
      <c r="O254" s="47">
        <v>2350</v>
      </c>
      <c r="P254" s="47">
        <v>0</v>
      </c>
      <c r="Q254" s="48">
        <v>0</v>
      </c>
      <c r="R254" s="48">
        <v>0</v>
      </c>
    </row>
    <row r="255" spans="1:18" s="157" customFormat="1" ht="51.75" customHeight="1">
      <c r="A255" s="109">
        <v>306</v>
      </c>
      <c r="B255" s="7" t="s">
        <v>554</v>
      </c>
      <c r="C255" s="110"/>
      <c r="D255" s="115" t="s">
        <v>11</v>
      </c>
      <c r="E255" s="110"/>
      <c r="F255" s="110"/>
      <c r="G255" s="110"/>
      <c r="H255" s="110"/>
      <c r="I255" s="110"/>
      <c r="J255" s="110"/>
      <c r="K255" s="103" t="s">
        <v>916</v>
      </c>
      <c r="L255" s="110" t="s">
        <v>173</v>
      </c>
      <c r="M255" s="110" t="s">
        <v>910</v>
      </c>
      <c r="N255" s="47">
        <v>600</v>
      </c>
      <c r="O255" s="47">
        <v>600</v>
      </c>
      <c r="P255" s="47">
        <v>0</v>
      </c>
      <c r="Q255" s="48">
        <v>0</v>
      </c>
      <c r="R255" s="48">
        <v>0</v>
      </c>
    </row>
    <row r="256" spans="1:18" s="157" customFormat="1" ht="73.5" customHeight="1">
      <c r="A256" s="109">
        <v>307</v>
      </c>
      <c r="B256" s="7" t="s">
        <v>555</v>
      </c>
      <c r="C256" s="110"/>
      <c r="D256" s="115" t="s">
        <v>131</v>
      </c>
      <c r="E256" s="110"/>
      <c r="F256" s="110"/>
      <c r="G256" s="110"/>
      <c r="H256" s="110"/>
      <c r="I256" s="110"/>
      <c r="J256" s="110"/>
      <c r="K256" s="103" t="s">
        <v>917</v>
      </c>
      <c r="L256" s="110" t="s">
        <v>173</v>
      </c>
      <c r="M256" s="110" t="s">
        <v>910</v>
      </c>
      <c r="N256" s="47">
        <v>700</v>
      </c>
      <c r="O256" s="47">
        <f>162062.57/1000</f>
        <v>162.06257</v>
      </c>
      <c r="P256" s="47">
        <v>0</v>
      </c>
      <c r="Q256" s="48">
        <v>0</v>
      </c>
      <c r="R256" s="48">
        <v>0</v>
      </c>
    </row>
    <row r="257" spans="1:18" s="157" customFormat="1" ht="95.25" customHeight="1">
      <c r="A257" s="109">
        <v>308</v>
      </c>
      <c r="B257" s="7" t="s">
        <v>556</v>
      </c>
      <c r="C257" s="110"/>
      <c r="D257" s="115" t="s">
        <v>201</v>
      </c>
      <c r="E257" s="110"/>
      <c r="F257" s="110"/>
      <c r="G257" s="110"/>
      <c r="H257" s="110"/>
      <c r="I257" s="110"/>
      <c r="J257" s="110"/>
      <c r="K257" s="103" t="s">
        <v>1092</v>
      </c>
      <c r="L257" s="110" t="s">
        <v>173</v>
      </c>
      <c r="M257" s="110" t="s">
        <v>925</v>
      </c>
      <c r="N257" s="47">
        <v>499</v>
      </c>
      <c r="O257" s="47">
        <v>499</v>
      </c>
      <c r="P257" s="47">
        <v>0</v>
      </c>
      <c r="Q257" s="48">
        <v>0</v>
      </c>
      <c r="R257" s="48">
        <v>0</v>
      </c>
    </row>
    <row r="258" spans="1:18" s="157" customFormat="1" ht="59.25" customHeight="1">
      <c r="A258" s="109">
        <v>309</v>
      </c>
      <c r="B258" s="7" t="s">
        <v>557</v>
      </c>
      <c r="C258" s="110"/>
      <c r="D258" s="115" t="s">
        <v>156</v>
      </c>
      <c r="E258" s="110"/>
      <c r="F258" s="110"/>
      <c r="G258" s="110"/>
      <c r="H258" s="110"/>
      <c r="I258" s="110"/>
      <c r="J258" s="110"/>
      <c r="K258" s="103" t="s">
        <v>1095</v>
      </c>
      <c r="L258" s="110" t="s">
        <v>173</v>
      </c>
      <c r="M258" s="110" t="s">
        <v>926</v>
      </c>
      <c r="N258" s="47">
        <v>424.9186</v>
      </c>
      <c r="O258" s="47">
        <f>422694.24/1000</f>
        <v>422.69424</v>
      </c>
      <c r="P258" s="47">
        <v>0</v>
      </c>
      <c r="Q258" s="48">
        <v>0</v>
      </c>
      <c r="R258" s="48">
        <v>0</v>
      </c>
    </row>
    <row r="259" spans="1:18" s="157" customFormat="1" ht="47.25" customHeight="1">
      <c r="A259" s="262">
        <v>310</v>
      </c>
      <c r="B259" s="231" t="s">
        <v>558</v>
      </c>
      <c r="C259" s="110"/>
      <c r="D259" s="264" t="s">
        <v>156</v>
      </c>
      <c r="E259" s="205"/>
      <c r="F259" s="205"/>
      <c r="G259" s="205"/>
      <c r="H259" s="205"/>
      <c r="I259" s="205"/>
      <c r="J259" s="205"/>
      <c r="K259" s="103" t="s">
        <v>918</v>
      </c>
      <c r="L259" s="110" t="s">
        <v>173</v>
      </c>
      <c r="M259" s="110" t="s">
        <v>927</v>
      </c>
      <c r="N259" s="186">
        <v>495</v>
      </c>
      <c r="O259" s="186">
        <v>495</v>
      </c>
      <c r="P259" s="186">
        <v>0</v>
      </c>
      <c r="Q259" s="233">
        <v>0</v>
      </c>
      <c r="R259" s="233">
        <v>0</v>
      </c>
    </row>
    <row r="260" spans="1:18" s="157" customFormat="1" ht="47.25" customHeight="1">
      <c r="A260" s="282"/>
      <c r="B260" s="232"/>
      <c r="C260" s="110"/>
      <c r="D260" s="286"/>
      <c r="E260" s="266"/>
      <c r="F260" s="266"/>
      <c r="G260" s="266"/>
      <c r="H260" s="266"/>
      <c r="I260" s="266"/>
      <c r="J260" s="266"/>
      <c r="K260" s="103" t="s">
        <v>919</v>
      </c>
      <c r="L260" s="110" t="s">
        <v>173</v>
      </c>
      <c r="M260" s="110" t="s">
        <v>927</v>
      </c>
      <c r="N260" s="235"/>
      <c r="O260" s="235"/>
      <c r="P260" s="235"/>
      <c r="Q260" s="234"/>
      <c r="R260" s="234"/>
    </row>
    <row r="261" spans="1:18" s="157" customFormat="1" ht="47.25" customHeight="1">
      <c r="A261" s="282"/>
      <c r="B261" s="232"/>
      <c r="C261" s="110"/>
      <c r="D261" s="286"/>
      <c r="E261" s="266"/>
      <c r="F261" s="266"/>
      <c r="G261" s="266"/>
      <c r="H261" s="266"/>
      <c r="I261" s="266"/>
      <c r="J261" s="266"/>
      <c r="K261" s="103" t="s">
        <v>920</v>
      </c>
      <c r="L261" s="110" t="s">
        <v>173</v>
      </c>
      <c r="M261" s="110" t="s">
        <v>927</v>
      </c>
      <c r="N261" s="235"/>
      <c r="O261" s="235"/>
      <c r="P261" s="235"/>
      <c r="Q261" s="234"/>
      <c r="R261" s="234"/>
    </row>
    <row r="262" spans="1:18" s="157" customFormat="1" ht="47.25" customHeight="1">
      <c r="A262" s="287">
        <v>34</v>
      </c>
      <c r="B262" s="288" t="s">
        <v>508</v>
      </c>
      <c r="C262" s="110"/>
      <c r="D262" s="215" t="s">
        <v>905</v>
      </c>
      <c r="E262" s="217"/>
      <c r="F262" s="217"/>
      <c r="G262" s="266"/>
      <c r="H262" s="266"/>
      <c r="I262" s="266"/>
      <c r="J262" s="266"/>
      <c r="K262" s="103" t="s">
        <v>921</v>
      </c>
      <c r="L262" s="110" t="s">
        <v>173</v>
      </c>
      <c r="M262" s="110" t="s">
        <v>927</v>
      </c>
      <c r="N262" s="235"/>
      <c r="O262" s="235"/>
      <c r="P262" s="235"/>
      <c r="Q262" s="234"/>
      <c r="R262" s="234"/>
    </row>
    <row r="263" spans="1:18" s="157" customFormat="1" ht="47.25" customHeight="1">
      <c r="A263" s="282"/>
      <c r="B263" s="232"/>
      <c r="C263" s="110"/>
      <c r="D263" s="286"/>
      <c r="E263" s="266"/>
      <c r="F263" s="266"/>
      <c r="G263" s="266"/>
      <c r="H263" s="266"/>
      <c r="I263" s="266"/>
      <c r="J263" s="266"/>
      <c r="K263" s="103" t="s">
        <v>922</v>
      </c>
      <c r="L263" s="110" t="s">
        <v>173</v>
      </c>
      <c r="M263" s="110" t="s">
        <v>927</v>
      </c>
      <c r="N263" s="235"/>
      <c r="O263" s="235"/>
      <c r="P263" s="235"/>
      <c r="Q263" s="234"/>
      <c r="R263" s="234"/>
    </row>
    <row r="264" spans="1:18" s="157" customFormat="1" ht="47.25" customHeight="1">
      <c r="A264" s="263"/>
      <c r="B264" s="246"/>
      <c r="C264" s="110"/>
      <c r="D264" s="265"/>
      <c r="E264" s="206"/>
      <c r="F264" s="206"/>
      <c r="G264" s="206"/>
      <c r="H264" s="206"/>
      <c r="I264" s="206"/>
      <c r="J264" s="206"/>
      <c r="K264" s="103" t="s">
        <v>923</v>
      </c>
      <c r="L264" s="110" t="s">
        <v>173</v>
      </c>
      <c r="M264" s="110" t="s">
        <v>927</v>
      </c>
      <c r="N264" s="187"/>
      <c r="O264" s="187"/>
      <c r="P264" s="187"/>
      <c r="Q264" s="247"/>
      <c r="R264" s="247"/>
    </row>
    <row r="265" spans="1:18" s="157" customFormat="1" ht="48.75" customHeight="1">
      <c r="A265" s="109">
        <v>311</v>
      </c>
      <c r="B265" s="7" t="s">
        <v>559</v>
      </c>
      <c r="C265" s="110"/>
      <c r="D265" s="115" t="s">
        <v>11</v>
      </c>
      <c r="E265" s="110"/>
      <c r="F265" s="110"/>
      <c r="G265" s="110"/>
      <c r="H265" s="110"/>
      <c r="I265" s="110"/>
      <c r="J265" s="110"/>
      <c r="K265" s="103" t="s">
        <v>924</v>
      </c>
      <c r="L265" s="110" t="s">
        <v>173</v>
      </c>
      <c r="M265" s="110" t="s">
        <v>910</v>
      </c>
      <c r="N265" s="47">
        <v>15</v>
      </c>
      <c r="O265" s="47">
        <v>15</v>
      </c>
      <c r="P265" s="47">
        <v>0</v>
      </c>
      <c r="Q265" s="48">
        <v>0</v>
      </c>
      <c r="R265" s="48">
        <v>0</v>
      </c>
    </row>
    <row r="266" spans="1:18" s="157" customFormat="1" ht="48" customHeight="1">
      <c r="A266" s="109">
        <v>312</v>
      </c>
      <c r="B266" s="7" t="s">
        <v>560</v>
      </c>
      <c r="C266" s="110"/>
      <c r="D266" s="115" t="s">
        <v>11</v>
      </c>
      <c r="E266" s="110"/>
      <c r="F266" s="110"/>
      <c r="G266" s="110"/>
      <c r="H266" s="110"/>
      <c r="I266" s="110"/>
      <c r="J266" s="110"/>
      <c r="K266" s="103" t="s">
        <v>928</v>
      </c>
      <c r="L266" s="110" t="s">
        <v>173</v>
      </c>
      <c r="M266" s="110" t="s">
        <v>910</v>
      </c>
      <c r="N266" s="47">
        <v>30</v>
      </c>
      <c r="O266" s="47">
        <v>30</v>
      </c>
      <c r="P266" s="47">
        <v>0</v>
      </c>
      <c r="Q266" s="48">
        <v>0</v>
      </c>
      <c r="R266" s="48">
        <v>0</v>
      </c>
    </row>
    <row r="267" spans="1:18" s="157" customFormat="1" ht="84" customHeight="1">
      <c r="A267" s="109">
        <v>603</v>
      </c>
      <c r="B267" s="7" t="s">
        <v>616</v>
      </c>
      <c r="C267" s="110"/>
      <c r="D267" s="115" t="s">
        <v>11</v>
      </c>
      <c r="E267" s="110"/>
      <c r="F267" s="110"/>
      <c r="G267" s="110"/>
      <c r="H267" s="110" t="s">
        <v>1004</v>
      </c>
      <c r="I267" s="110" t="s">
        <v>1007</v>
      </c>
      <c r="J267" s="110" t="s">
        <v>386</v>
      </c>
      <c r="K267" s="119" t="s">
        <v>929</v>
      </c>
      <c r="L267" s="110" t="s">
        <v>173</v>
      </c>
      <c r="M267" s="110" t="s">
        <v>932</v>
      </c>
      <c r="N267" s="47">
        <v>5889.9</v>
      </c>
      <c r="O267" s="47">
        <v>5889.9</v>
      </c>
      <c r="P267" s="47">
        <v>0</v>
      </c>
      <c r="Q267" s="48">
        <v>0</v>
      </c>
      <c r="R267" s="48">
        <v>0</v>
      </c>
    </row>
    <row r="268" spans="1:18" s="157" customFormat="1" ht="70.5" customHeight="1">
      <c r="A268" s="109">
        <v>313</v>
      </c>
      <c r="B268" s="7" t="s">
        <v>617</v>
      </c>
      <c r="C268" s="110"/>
      <c r="D268" s="115" t="s">
        <v>545</v>
      </c>
      <c r="E268" s="110"/>
      <c r="F268" s="110"/>
      <c r="G268" s="110"/>
      <c r="H268" s="110"/>
      <c r="I268" s="110"/>
      <c r="J268" s="110"/>
      <c r="K268" s="103" t="s">
        <v>930</v>
      </c>
      <c r="L268" s="110" t="s">
        <v>173</v>
      </c>
      <c r="M268" s="110" t="s">
        <v>933</v>
      </c>
      <c r="N268" s="47">
        <v>130</v>
      </c>
      <c r="O268" s="47">
        <v>130</v>
      </c>
      <c r="P268" s="47">
        <v>0</v>
      </c>
      <c r="Q268" s="48">
        <v>0</v>
      </c>
      <c r="R268" s="48">
        <v>0</v>
      </c>
    </row>
    <row r="269" spans="1:18" s="157" customFormat="1" ht="58.5" customHeight="1">
      <c r="A269" s="109">
        <v>316</v>
      </c>
      <c r="B269" s="7" t="s">
        <v>618</v>
      </c>
      <c r="C269" s="110"/>
      <c r="D269" s="115" t="s">
        <v>131</v>
      </c>
      <c r="E269" s="110"/>
      <c r="F269" s="110"/>
      <c r="G269" s="110"/>
      <c r="H269" s="110"/>
      <c r="I269" s="110"/>
      <c r="J269" s="110"/>
      <c r="K269" s="103" t="s">
        <v>931</v>
      </c>
      <c r="L269" s="110" t="s">
        <v>173</v>
      </c>
      <c r="M269" s="110" t="s">
        <v>912</v>
      </c>
      <c r="N269" s="47">
        <v>5289</v>
      </c>
      <c r="O269" s="47">
        <v>5289</v>
      </c>
      <c r="P269" s="47">
        <v>0</v>
      </c>
      <c r="Q269" s="48">
        <v>0</v>
      </c>
      <c r="R269" s="48">
        <v>0</v>
      </c>
    </row>
    <row r="270" spans="1:18" s="157" customFormat="1" ht="107.25" customHeight="1">
      <c r="A270" s="262">
        <v>611</v>
      </c>
      <c r="B270" s="231" t="s">
        <v>619</v>
      </c>
      <c r="C270" s="110"/>
      <c r="D270" s="264" t="s">
        <v>131</v>
      </c>
      <c r="E270" s="205"/>
      <c r="F270" s="205"/>
      <c r="G270" s="205"/>
      <c r="H270" s="205" t="s">
        <v>1000</v>
      </c>
      <c r="I270" s="205" t="s">
        <v>1001</v>
      </c>
      <c r="J270" s="205" t="s">
        <v>1002</v>
      </c>
      <c r="K270" s="118" t="s">
        <v>934</v>
      </c>
      <c r="L270" s="123" t="s">
        <v>103</v>
      </c>
      <c r="M270" s="112" t="s">
        <v>899</v>
      </c>
      <c r="N270" s="289">
        <v>10000</v>
      </c>
      <c r="O270" s="289">
        <v>10000</v>
      </c>
      <c r="P270" s="289">
        <v>0</v>
      </c>
      <c r="Q270" s="289">
        <v>0</v>
      </c>
      <c r="R270" s="289">
        <v>0</v>
      </c>
    </row>
    <row r="271" spans="1:18" s="157" customFormat="1" ht="94.5" customHeight="1">
      <c r="A271" s="263"/>
      <c r="B271" s="246"/>
      <c r="C271" s="110"/>
      <c r="D271" s="265"/>
      <c r="E271" s="206"/>
      <c r="F271" s="206"/>
      <c r="G271" s="206"/>
      <c r="H271" s="206"/>
      <c r="I271" s="206"/>
      <c r="J271" s="206"/>
      <c r="K271" s="119" t="s">
        <v>935</v>
      </c>
      <c r="L271" s="113" t="s">
        <v>77</v>
      </c>
      <c r="M271" s="113" t="s">
        <v>936</v>
      </c>
      <c r="N271" s="290"/>
      <c r="O271" s="290"/>
      <c r="P271" s="290"/>
      <c r="Q271" s="290"/>
      <c r="R271" s="290"/>
    </row>
    <row r="272" spans="1:18" s="157" customFormat="1" ht="70.5" customHeight="1">
      <c r="A272" s="109">
        <v>619</v>
      </c>
      <c r="B272" s="7" t="s">
        <v>624</v>
      </c>
      <c r="C272" s="110"/>
      <c r="D272" s="115" t="s">
        <v>11</v>
      </c>
      <c r="E272" s="110"/>
      <c r="F272" s="110"/>
      <c r="G272" s="110"/>
      <c r="H272" s="110"/>
      <c r="I272" s="110"/>
      <c r="J272" s="110"/>
      <c r="K272" s="119" t="s">
        <v>944</v>
      </c>
      <c r="L272" s="110" t="s">
        <v>222</v>
      </c>
      <c r="M272" s="110" t="s">
        <v>603</v>
      </c>
      <c r="N272" s="57">
        <v>1527.5</v>
      </c>
      <c r="O272" s="57">
        <v>1527.5</v>
      </c>
      <c r="P272" s="57">
        <v>0</v>
      </c>
      <c r="Q272" s="57">
        <v>0</v>
      </c>
      <c r="R272" s="57">
        <v>0</v>
      </c>
    </row>
    <row r="273" spans="1:18" s="157" customFormat="1" ht="99.75" customHeight="1">
      <c r="A273" s="109">
        <v>622</v>
      </c>
      <c r="B273" s="7" t="s">
        <v>625</v>
      </c>
      <c r="C273" s="110"/>
      <c r="D273" s="115" t="s">
        <v>864</v>
      </c>
      <c r="E273" s="110" t="s">
        <v>1008</v>
      </c>
      <c r="F273" s="110" t="s">
        <v>1009</v>
      </c>
      <c r="G273" s="110" t="s">
        <v>1010</v>
      </c>
      <c r="H273" s="110"/>
      <c r="I273" s="110"/>
      <c r="J273" s="110"/>
      <c r="K273" s="119" t="s">
        <v>945</v>
      </c>
      <c r="L273" s="110" t="s">
        <v>531</v>
      </c>
      <c r="M273" s="110" t="s">
        <v>932</v>
      </c>
      <c r="N273" s="57">
        <v>7876.231</v>
      </c>
      <c r="O273" s="57">
        <f>7876231/1000</f>
        <v>7876.231</v>
      </c>
      <c r="P273" s="57">
        <v>0</v>
      </c>
      <c r="Q273" s="57">
        <v>0</v>
      </c>
      <c r="R273" s="57">
        <v>0</v>
      </c>
    </row>
    <row r="274" spans="1:18" s="157" customFormat="1" ht="48" customHeight="1">
      <c r="A274" s="282">
        <v>624</v>
      </c>
      <c r="B274" s="232" t="s">
        <v>1121</v>
      </c>
      <c r="C274" s="110"/>
      <c r="D274" s="286"/>
      <c r="E274" s="266"/>
      <c r="F274" s="266"/>
      <c r="G274" s="205"/>
      <c r="H274" s="205"/>
      <c r="I274" s="205"/>
      <c r="J274" s="205"/>
      <c r="K274" s="118" t="s">
        <v>947</v>
      </c>
      <c r="L274" s="112" t="s">
        <v>948</v>
      </c>
      <c r="M274" s="112" t="s">
        <v>600</v>
      </c>
      <c r="N274" s="289">
        <v>25000</v>
      </c>
      <c r="O274" s="289">
        <f>19909130/1000</f>
        <v>19909.13</v>
      </c>
      <c r="P274" s="289">
        <v>0</v>
      </c>
      <c r="Q274" s="289">
        <v>0</v>
      </c>
      <c r="R274" s="289">
        <v>0</v>
      </c>
    </row>
    <row r="275" spans="1:18" s="157" customFormat="1" ht="72.75" customHeight="1">
      <c r="A275" s="263"/>
      <c r="B275" s="246"/>
      <c r="C275" s="110"/>
      <c r="D275" s="265"/>
      <c r="E275" s="206"/>
      <c r="F275" s="206"/>
      <c r="G275" s="206"/>
      <c r="H275" s="206"/>
      <c r="I275" s="206"/>
      <c r="J275" s="206"/>
      <c r="K275" s="119" t="s">
        <v>946</v>
      </c>
      <c r="L275" s="113" t="s">
        <v>173</v>
      </c>
      <c r="M275" s="113" t="s">
        <v>949</v>
      </c>
      <c r="N275" s="290"/>
      <c r="O275" s="290"/>
      <c r="P275" s="290"/>
      <c r="Q275" s="290"/>
      <c r="R275" s="290"/>
    </row>
    <row r="276" spans="1:18" s="157" customFormat="1" ht="97.5" customHeight="1">
      <c r="A276" s="109">
        <v>630</v>
      </c>
      <c r="B276" s="28" t="s">
        <v>636</v>
      </c>
      <c r="C276" s="110"/>
      <c r="D276" s="115" t="s">
        <v>156</v>
      </c>
      <c r="E276" s="110"/>
      <c r="F276" s="110"/>
      <c r="G276" s="110"/>
      <c r="H276" s="110" t="s">
        <v>1000</v>
      </c>
      <c r="I276" s="110" t="s">
        <v>1001</v>
      </c>
      <c r="J276" s="110" t="s">
        <v>1002</v>
      </c>
      <c r="K276" s="119" t="s">
        <v>950</v>
      </c>
      <c r="L276" s="110" t="s">
        <v>173</v>
      </c>
      <c r="M276" s="110" t="s">
        <v>951</v>
      </c>
      <c r="N276" s="57">
        <v>63.5</v>
      </c>
      <c r="O276" s="57">
        <v>63.5</v>
      </c>
      <c r="P276" s="57">
        <v>0</v>
      </c>
      <c r="Q276" s="57">
        <v>0</v>
      </c>
      <c r="R276" s="57">
        <v>0</v>
      </c>
    </row>
    <row r="277" spans="1:18" s="157" customFormat="1" ht="63" customHeight="1">
      <c r="A277" s="109">
        <v>317</v>
      </c>
      <c r="B277" s="28" t="s">
        <v>668</v>
      </c>
      <c r="C277" s="110"/>
      <c r="D277" s="115" t="s">
        <v>130</v>
      </c>
      <c r="E277" s="110"/>
      <c r="F277" s="110"/>
      <c r="G277" s="110"/>
      <c r="H277" s="110"/>
      <c r="I277" s="110"/>
      <c r="J277" s="110"/>
      <c r="K277" s="103" t="s">
        <v>1088</v>
      </c>
      <c r="L277" s="110" t="s">
        <v>865</v>
      </c>
      <c r="M277" s="110" t="s">
        <v>952</v>
      </c>
      <c r="N277" s="57">
        <v>507.13376</v>
      </c>
      <c r="O277" s="57">
        <f>507133.76/1000</f>
        <v>507.13376</v>
      </c>
      <c r="P277" s="57">
        <v>0</v>
      </c>
      <c r="Q277" s="57">
        <v>0</v>
      </c>
      <c r="R277" s="57">
        <v>0</v>
      </c>
    </row>
    <row r="278" spans="1:18" s="157" customFormat="1" ht="60" customHeight="1">
      <c r="A278" s="109">
        <v>318</v>
      </c>
      <c r="B278" s="28" t="s">
        <v>669</v>
      </c>
      <c r="C278" s="110"/>
      <c r="D278" s="115" t="s">
        <v>156</v>
      </c>
      <c r="E278" s="110"/>
      <c r="F278" s="110"/>
      <c r="G278" s="110"/>
      <c r="H278" s="110"/>
      <c r="I278" s="110"/>
      <c r="J278" s="110"/>
      <c r="K278" s="103" t="s">
        <v>953</v>
      </c>
      <c r="L278" s="110" t="s">
        <v>865</v>
      </c>
      <c r="M278" s="110" t="s">
        <v>952</v>
      </c>
      <c r="N278" s="57">
        <v>65</v>
      </c>
      <c r="O278" s="57">
        <v>65</v>
      </c>
      <c r="P278" s="57">
        <v>0</v>
      </c>
      <c r="Q278" s="57">
        <v>0</v>
      </c>
      <c r="R278" s="57">
        <v>0</v>
      </c>
    </row>
    <row r="279" spans="1:18" s="157" customFormat="1" ht="48.75" customHeight="1">
      <c r="A279" s="109">
        <v>319</v>
      </c>
      <c r="B279" s="28" t="s">
        <v>670</v>
      </c>
      <c r="C279" s="124"/>
      <c r="D279" s="125" t="s">
        <v>278</v>
      </c>
      <c r="E279" s="124"/>
      <c r="F279" s="124"/>
      <c r="G279" s="124"/>
      <c r="H279" s="124"/>
      <c r="I279" s="124"/>
      <c r="J279" s="124"/>
      <c r="K279" s="103" t="s">
        <v>954</v>
      </c>
      <c r="L279" s="124" t="s">
        <v>865</v>
      </c>
      <c r="M279" s="110" t="s">
        <v>952</v>
      </c>
      <c r="N279" s="57">
        <v>36.3</v>
      </c>
      <c r="O279" s="57">
        <v>36.3</v>
      </c>
      <c r="P279" s="57">
        <v>0</v>
      </c>
      <c r="Q279" s="57">
        <v>0</v>
      </c>
      <c r="R279" s="57">
        <v>0</v>
      </c>
    </row>
    <row r="280" spans="1:18" s="157" customFormat="1" ht="84" customHeight="1">
      <c r="A280" s="109">
        <v>320</v>
      </c>
      <c r="B280" s="28" t="s">
        <v>671</v>
      </c>
      <c r="C280" s="124"/>
      <c r="D280" s="125" t="s">
        <v>131</v>
      </c>
      <c r="E280" s="124"/>
      <c r="F280" s="124"/>
      <c r="G280" s="124"/>
      <c r="H280" s="124"/>
      <c r="I280" s="124"/>
      <c r="J280" s="124"/>
      <c r="K280" s="103" t="s">
        <v>955</v>
      </c>
      <c r="L280" s="124" t="s">
        <v>865</v>
      </c>
      <c r="M280" s="110" t="s">
        <v>952</v>
      </c>
      <c r="N280" s="57">
        <v>41</v>
      </c>
      <c r="O280" s="57">
        <v>41</v>
      </c>
      <c r="P280" s="57">
        <v>0</v>
      </c>
      <c r="Q280" s="57">
        <v>0</v>
      </c>
      <c r="R280" s="57">
        <v>0</v>
      </c>
    </row>
    <row r="281" spans="1:18" s="157" customFormat="1" ht="59.25" customHeight="1">
      <c r="A281" s="109">
        <v>321</v>
      </c>
      <c r="B281" s="28" t="s">
        <v>672</v>
      </c>
      <c r="C281" s="124"/>
      <c r="D281" s="125" t="s">
        <v>131</v>
      </c>
      <c r="E281" s="124"/>
      <c r="F281" s="124"/>
      <c r="G281" s="124"/>
      <c r="H281" s="124"/>
      <c r="I281" s="124"/>
      <c r="J281" s="124"/>
      <c r="K281" s="103" t="s">
        <v>956</v>
      </c>
      <c r="L281" s="124" t="s">
        <v>865</v>
      </c>
      <c r="M281" s="110" t="s">
        <v>952</v>
      </c>
      <c r="N281" s="57">
        <v>95</v>
      </c>
      <c r="O281" s="57">
        <v>95</v>
      </c>
      <c r="P281" s="57">
        <v>0</v>
      </c>
      <c r="Q281" s="57">
        <v>0</v>
      </c>
      <c r="R281" s="57">
        <v>0</v>
      </c>
    </row>
    <row r="282" spans="1:18" s="157" customFormat="1" ht="60.75" customHeight="1">
      <c r="A282" s="109">
        <v>322</v>
      </c>
      <c r="B282" s="28" t="s">
        <v>673</v>
      </c>
      <c r="C282" s="124"/>
      <c r="D282" s="125" t="s">
        <v>156</v>
      </c>
      <c r="E282" s="124"/>
      <c r="F282" s="124"/>
      <c r="G282" s="124"/>
      <c r="H282" s="124"/>
      <c r="I282" s="124"/>
      <c r="J282" s="124"/>
      <c r="K282" s="103" t="s">
        <v>957</v>
      </c>
      <c r="L282" s="124" t="s">
        <v>865</v>
      </c>
      <c r="M282" s="110" t="s">
        <v>952</v>
      </c>
      <c r="N282" s="57">
        <v>110</v>
      </c>
      <c r="O282" s="57">
        <v>110</v>
      </c>
      <c r="P282" s="57">
        <v>0</v>
      </c>
      <c r="Q282" s="57">
        <v>0</v>
      </c>
      <c r="R282" s="57">
        <v>0</v>
      </c>
    </row>
    <row r="283" spans="1:18" s="157" customFormat="1" ht="84.75" customHeight="1">
      <c r="A283" s="109">
        <v>323</v>
      </c>
      <c r="B283" s="28" t="s">
        <v>674</v>
      </c>
      <c r="C283" s="124"/>
      <c r="D283" s="125" t="s">
        <v>11</v>
      </c>
      <c r="E283" s="124"/>
      <c r="F283" s="124"/>
      <c r="G283" s="124"/>
      <c r="H283" s="124"/>
      <c r="I283" s="124"/>
      <c r="J283" s="124"/>
      <c r="K283" s="103" t="s">
        <v>955</v>
      </c>
      <c r="L283" s="124" t="s">
        <v>865</v>
      </c>
      <c r="M283" s="110" t="s">
        <v>952</v>
      </c>
      <c r="N283" s="57">
        <v>30</v>
      </c>
      <c r="O283" s="57">
        <v>30</v>
      </c>
      <c r="P283" s="57">
        <v>0</v>
      </c>
      <c r="Q283" s="57">
        <v>0</v>
      </c>
      <c r="R283" s="57">
        <v>0</v>
      </c>
    </row>
    <row r="284" spans="1:18" s="157" customFormat="1" ht="47.25" customHeight="1">
      <c r="A284" s="109">
        <v>324</v>
      </c>
      <c r="B284" s="28" t="s">
        <v>675</v>
      </c>
      <c r="C284" s="124"/>
      <c r="D284" s="125" t="s">
        <v>545</v>
      </c>
      <c r="E284" s="124"/>
      <c r="F284" s="124"/>
      <c r="G284" s="124"/>
      <c r="H284" s="124"/>
      <c r="I284" s="124"/>
      <c r="J284" s="124"/>
      <c r="K284" s="103" t="s">
        <v>958</v>
      </c>
      <c r="L284" s="124" t="s">
        <v>173</v>
      </c>
      <c r="M284" s="124" t="s">
        <v>961</v>
      </c>
      <c r="N284" s="57">
        <v>30</v>
      </c>
      <c r="O284" s="57">
        <v>30</v>
      </c>
      <c r="P284" s="57">
        <v>0</v>
      </c>
      <c r="Q284" s="57">
        <v>0</v>
      </c>
      <c r="R284" s="57">
        <v>0</v>
      </c>
    </row>
    <row r="285" spans="1:18" s="157" customFormat="1" ht="111" customHeight="1">
      <c r="A285" s="109">
        <v>621</v>
      </c>
      <c r="B285" s="28" t="s">
        <v>676</v>
      </c>
      <c r="C285" s="124"/>
      <c r="D285" s="125" t="s">
        <v>135</v>
      </c>
      <c r="E285" s="124"/>
      <c r="F285" s="124"/>
      <c r="G285" s="124"/>
      <c r="H285" s="124" t="s">
        <v>1006</v>
      </c>
      <c r="I285" s="124" t="s">
        <v>1011</v>
      </c>
      <c r="J285" s="124" t="s">
        <v>1003</v>
      </c>
      <c r="K285" s="119" t="s">
        <v>959</v>
      </c>
      <c r="L285" s="124" t="s">
        <v>173</v>
      </c>
      <c r="M285" s="124" t="s">
        <v>962</v>
      </c>
      <c r="N285" s="57">
        <v>418.89996</v>
      </c>
      <c r="O285" s="57">
        <f>418899.96/1000</f>
        <v>418.89996</v>
      </c>
      <c r="P285" s="57">
        <v>0</v>
      </c>
      <c r="Q285" s="57">
        <v>0</v>
      </c>
      <c r="R285" s="57">
        <v>0</v>
      </c>
    </row>
    <row r="286" spans="1:18" s="157" customFormat="1" ht="95.25" customHeight="1">
      <c r="A286" s="109">
        <v>626</v>
      </c>
      <c r="B286" s="75" t="s">
        <v>677</v>
      </c>
      <c r="C286" s="124"/>
      <c r="D286" s="125" t="s">
        <v>278</v>
      </c>
      <c r="E286" s="124"/>
      <c r="F286" s="124"/>
      <c r="G286" s="124"/>
      <c r="H286" s="124"/>
      <c r="I286" s="124"/>
      <c r="J286" s="124"/>
      <c r="K286" s="119" t="s">
        <v>960</v>
      </c>
      <c r="L286" s="124" t="s">
        <v>222</v>
      </c>
      <c r="M286" s="124" t="s">
        <v>963</v>
      </c>
      <c r="N286" s="57">
        <v>22935</v>
      </c>
      <c r="O286" s="57">
        <f>22182828.46/1000</f>
        <v>22182.82846</v>
      </c>
      <c r="P286" s="57">
        <v>0</v>
      </c>
      <c r="Q286" s="57">
        <v>0</v>
      </c>
      <c r="R286" s="57">
        <v>0</v>
      </c>
    </row>
    <row r="287" spans="1:18" s="157" customFormat="1" ht="84.75" customHeight="1">
      <c r="A287" s="109">
        <v>634</v>
      </c>
      <c r="B287" s="28" t="s">
        <v>678</v>
      </c>
      <c r="C287" s="124"/>
      <c r="D287" s="125" t="s">
        <v>224</v>
      </c>
      <c r="E287" s="124"/>
      <c r="F287" s="124"/>
      <c r="G287" s="124"/>
      <c r="H287" s="110" t="s">
        <v>1004</v>
      </c>
      <c r="I287" s="110" t="s">
        <v>1248</v>
      </c>
      <c r="J287" s="110" t="s">
        <v>386</v>
      </c>
      <c r="K287" s="118" t="s">
        <v>1247</v>
      </c>
      <c r="L287" s="124" t="s">
        <v>443</v>
      </c>
      <c r="M287" s="124" t="s">
        <v>1249</v>
      </c>
      <c r="N287" s="57">
        <v>10107.47</v>
      </c>
      <c r="O287" s="57">
        <f>10107.47</f>
        <v>10107.47</v>
      </c>
      <c r="P287" s="57">
        <v>7678</v>
      </c>
      <c r="Q287" s="57">
        <v>0</v>
      </c>
      <c r="R287" s="57">
        <v>0</v>
      </c>
    </row>
    <row r="288" spans="1:18" s="157" customFormat="1" ht="109.5" customHeight="1">
      <c r="A288" s="109">
        <v>635</v>
      </c>
      <c r="B288" s="28" t="s">
        <v>658</v>
      </c>
      <c r="C288" s="124"/>
      <c r="D288" s="125" t="s">
        <v>135</v>
      </c>
      <c r="E288" s="124"/>
      <c r="F288" s="124"/>
      <c r="G288" s="124"/>
      <c r="H288" s="124" t="s">
        <v>1006</v>
      </c>
      <c r="I288" s="124" t="s">
        <v>1011</v>
      </c>
      <c r="J288" s="124" t="s">
        <v>1003</v>
      </c>
      <c r="K288" s="103" t="s">
        <v>661</v>
      </c>
      <c r="L288" s="124" t="s">
        <v>972</v>
      </c>
      <c r="M288" s="124" t="s">
        <v>973</v>
      </c>
      <c r="N288" s="57">
        <v>6401</v>
      </c>
      <c r="O288" s="57">
        <f>2929470/1000</f>
        <v>2929.47</v>
      </c>
      <c r="P288" s="57">
        <v>0</v>
      </c>
      <c r="Q288" s="57">
        <v>0</v>
      </c>
      <c r="R288" s="57">
        <v>0</v>
      </c>
    </row>
    <row r="289" spans="1:18" s="157" customFormat="1" ht="71.25" customHeight="1">
      <c r="A289" s="262">
        <v>638</v>
      </c>
      <c r="B289" s="209" t="s">
        <v>679</v>
      </c>
      <c r="C289" s="124"/>
      <c r="D289" s="264" t="s">
        <v>964</v>
      </c>
      <c r="E289" s="205"/>
      <c r="F289" s="205"/>
      <c r="G289" s="205"/>
      <c r="H289" s="205" t="s">
        <v>1000</v>
      </c>
      <c r="I289" s="205" t="s">
        <v>1001</v>
      </c>
      <c r="J289" s="205" t="s">
        <v>1002</v>
      </c>
      <c r="K289" s="119" t="s">
        <v>965</v>
      </c>
      <c r="L289" s="124" t="s">
        <v>173</v>
      </c>
      <c r="M289" s="124" t="s">
        <v>970</v>
      </c>
      <c r="N289" s="289">
        <v>360.5</v>
      </c>
      <c r="O289" s="289">
        <v>360.5</v>
      </c>
      <c r="P289" s="289">
        <v>0</v>
      </c>
      <c r="Q289" s="289">
        <v>0</v>
      </c>
      <c r="R289" s="289">
        <v>0</v>
      </c>
    </row>
    <row r="290" spans="1:18" s="157" customFormat="1" ht="70.5" customHeight="1">
      <c r="A290" s="262">
        <v>624</v>
      </c>
      <c r="B290" s="231" t="s">
        <v>641</v>
      </c>
      <c r="C290" s="110"/>
      <c r="D290" s="264" t="s">
        <v>131</v>
      </c>
      <c r="E290" s="205"/>
      <c r="F290" s="205"/>
      <c r="G290" s="266"/>
      <c r="H290" s="266"/>
      <c r="I290" s="266"/>
      <c r="J290" s="266"/>
      <c r="K290" s="119" t="s">
        <v>966</v>
      </c>
      <c r="L290" s="124" t="s">
        <v>222</v>
      </c>
      <c r="M290" s="124" t="s">
        <v>970</v>
      </c>
      <c r="N290" s="291"/>
      <c r="O290" s="291"/>
      <c r="P290" s="291"/>
      <c r="Q290" s="291"/>
      <c r="R290" s="291"/>
    </row>
    <row r="291" spans="1:18" s="157" customFormat="1" ht="81.75" customHeight="1">
      <c r="A291" s="282"/>
      <c r="B291" s="280"/>
      <c r="C291" s="124"/>
      <c r="D291" s="286"/>
      <c r="E291" s="266"/>
      <c r="F291" s="266"/>
      <c r="G291" s="266"/>
      <c r="H291" s="266"/>
      <c r="I291" s="266"/>
      <c r="J291" s="266"/>
      <c r="K291" s="119" t="s">
        <v>967</v>
      </c>
      <c r="L291" s="124" t="s">
        <v>222</v>
      </c>
      <c r="M291" s="124" t="s">
        <v>970</v>
      </c>
      <c r="N291" s="291"/>
      <c r="O291" s="291"/>
      <c r="P291" s="291"/>
      <c r="Q291" s="291"/>
      <c r="R291" s="291"/>
    </row>
    <row r="292" spans="1:18" s="157" customFormat="1" ht="69.75" customHeight="1">
      <c r="A292" s="263"/>
      <c r="B292" s="210"/>
      <c r="C292" s="124"/>
      <c r="D292" s="265"/>
      <c r="E292" s="206"/>
      <c r="F292" s="206"/>
      <c r="G292" s="206"/>
      <c r="H292" s="206"/>
      <c r="I292" s="206"/>
      <c r="J292" s="206"/>
      <c r="K292" s="119" t="s">
        <v>968</v>
      </c>
      <c r="L292" s="124" t="s">
        <v>222</v>
      </c>
      <c r="M292" s="124" t="s">
        <v>970</v>
      </c>
      <c r="N292" s="290"/>
      <c r="O292" s="290"/>
      <c r="P292" s="290"/>
      <c r="Q292" s="290"/>
      <c r="R292" s="290"/>
    </row>
    <row r="293" spans="1:18" s="157" customFormat="1" ht="71.25" customHeight="1">
      <c r="A293" s="109">
        <v>325</v>
      </c>
      <c r="B293" s="28" t="s">
        <v>735</v>
      </c>
      <c r="C293" s="124"/>
      <c r="D293" s="125" t="s">
        <v>545</v>
      </c>
      <c r="E293" s="124"/>
      <c r="F293" s="124"/>
      <c r="G293" s="124"/>
      <c r="H293" s="124"/>
      <c r="I293" s="124"/>
      <c r="J293" s="124"/>
      <c r="K293" s="103" t="s">
        <v>969</v>
      </c>
      <c r="L293" s="124" t="s">
        <v>173</v>
      </c>
      <c r="M293" s="124" t="s">
        <v>971</v>
      </c>
      <c r="N293" s="57">
        <v>150</v>
      </c>
      <c r="O293" s="57">
        <v>142.5</v>
      </c>
      <c r="P293" s="57">
        <v>0</v>
      </c>
      <c r="Q293" s="57">
        <v>0</v>
      </c>
      <c r="R293" s="57">
        <v>0</v>
      </c>
    </row>
    <row r="294" spans="1:18" s="157" customFormat="1" ht="75" customHeight="1">
      <c r="A294" s="109">
        <v>326</v>
      </c>
      <c r="B294" s="28" t="s">
        <v>736</v>
      </c>
      <c r="C294" s="124"/>
      <c r="D294" s="125" t="s">
        <v>201</v>
      </c>
      <c r="E294" s="124"/>
      <c r="F294" s="124"/>
      <c r="G294" s="124"/>
      <c r="H294" s="124"/>
      <c r="I294" s="124"/>
      <c r="J294" s="124"/>
      <c r="K294" s="103" t="s">
        <v>974</v>
      </c>
      <c r="L294" s="124" t="s">
        <v>865</v>
      </c>
      <c r="M294" s="124" t="s">
        <v>980</v>
      </c>
      <c r="N294" s="57">
        <v>1000</v>
      </c>
      <c r="O294" s="57">
        <v>1000</v>
      </c>
      <c r="P294" s="57">
        <v>0</v>
      </c>
      <c r="Q294" s="57">
        <v>0</v>
      </c>
      <c r="R294" s="57">
        <v>0</v>
      </c>
    </row>
    <row r="295" spans="1:18" s="157" customFormat="1" ht="47.25" customHeight="1">
      <c r="A295" s="109">
        <v>327</v>
      </c>
      <c r="B295" s="28" t="s">
        <v>737</v>
      </c>
      <c r="C295" s="124"/>
      <c r="D295" s="125" t="s">
        <v>11</v>
      </c>
      <c r="E295" s="124"/>
      <c r="F295" s="124"/>
      <c r="G295" s="124"/>
      <c r="H295" s="124"/>
      <c r="I295" s="124"/>
      <c r="J295" s="124"/>
      <c r="K295" s="103" t="s">
        <v>975</v>
      </c>
      <c r="L295" s="124" t="s">
        <v>865</v>
      </c>
      <c r="M295" s="124" t="s">
        <v>980</v>
      </c>
      <c r="N295" s="57">
        <v>100</v>
      </c>
      <c r="O295" s="57">
        <v>100</v>
      </c>
      <c r="P295" s="57">
        <v>0</v>
      </c>
      <c r="Q295" s="57">
        <v>0</v>
      </c>
      <c r="R295" s="57">
        <v>0</v>
      </c>
    </row>
    <row r="296" spans="1:18" s="157" customFormat="1" ht="51.75" customHeight="1">
      <c r="A296" s="109">
        <v>328</v>
      </c>
      <c r="B296" s="28" t="s">
        <v>738</v>
      </c>
      <c r="C296" s="124"/>
      <c r="D296" s="125" t="s">
        <v>864</v>
      </c>
      <c r="E296" s="124"/>
      <c r="F296" s="124"/>
      <c r="G296" s="124"/>
      <c r="H296" s="124"/>
      <c r="I296" s="124"/>
      <c r="J296" s="124"/>
      <c r="K296" s="103" t="s">
        <v>976</v>
      </c>
      <c r="L296" s="124" t="s">
        <v>865</v>
      </c>
      <c r="M296" s="124" t="s">
        <v>980</v>
      </c>
      <c r="N296" s="57">
        <v>200</v>
      </c>
      <c r="O296" s="57">
        <v>200</v>
      </c>
      <c r="P296" s="57">
        <v>0</v>
      </c>
      <c r="Q296" s="57">
        <v>0</v>
      </c>
      <c r="R296" s="57">
        <v>0</v>
      </c>
    </row>
    <row r="297" spans="1:18" s="157" customFormat="1" ht="74.25" customHeight="1">
      <c r="A297" s="262">
        <v>640</v>
      </c>
      <c r="B297" s="209" t="s">
        <v>739</v>
      </c>
      <c r="C297" s="124"/>
      <c r="D297" s="264" t="s">
        <v>131</v>
      </c>
      <c r="E297" s="205"/>
      <c r="F297" s="205"/>
      <c r="G297" s="205"/>
      <c r="H297" s="205" t="s">
        <v>1006</v>
      </c>
      <c r="I297" s="205" t="s">
        <v>1011</v>
      </c>
      <c r="J297" s="205" t="s">
        <v>1003</v>
      </c>
      <c r="K297" s="118" t="s">
        <v>977</v>
      </c>
      <c r="L297" s="124" t="s">
        <v>865</v>
      </c>
      <c r="M297" s="124" t="s">
        <v>981</v>
      </c>
      <c r="N297" s="289">
        <v>2571</v>
      </c>
      <c r="O297" s="289">
        <v>2571</v>
      </c>
      <c r="P297" s="289">
        <v>0</v>
      </c>
      <c r="Q297" s="289">
        <v>0</v>
      </c>
      <c r="R297" s="289">
        <v>0</v>
      </c>
    </row>
    <row r="298" spans="1:18" s="157" customFormat="1" ht="74.25" customHeight="1">
      <c r="A298" s="282"/>
      <c r="B298" s="280"/>
      <c r="C298" s="124"/>
      <c r="D298" s="286"/>
      <c r="E298" s="266"/>
      <c r="F298" s="266"/>
      <c r="G298" s="266"/>
      <c r="H298" s="266"/>
      <c r="I298" s="266"/>
      <c r="J298" s="266"/>
      <c r="K298" s="121" t="s">
        <v>978</v>
      </c>
      <c r="L298" s="124" t="s">
        <v>865</v>
      </c>
      <c r="M298" s="124" t="s">
        <v>981</v>
      </c>
      <c r="N298" s="291"/>
      <c r="O298" s="291"/>
      <c r="P298" s="291"/>
      <c r="Q298" s="291"/>
      <c r="R298" s="291"/>
    </row>
    <row r="299" spans="1:18" s="157" customFormat="1" ht="74.25" customHeight="1">
      <c r="A299" s="263"/>
      <c r="B299" s="210"/>
      <c r="C299" s="124"/>
      <c r="D299" s="265"/>
      <c r="E299" s="206"/>
      <c r="F299" s="206"/>
      <c r="G299" s="206"/>
      <c r="H299" s="206"/>
      <c r="I299" s="206"/>
      <c r="J299" s="206"/>
      <c r="K299" s="119" t="s">
        <v>979</v>
      </c>
      <c r="L299" s="124" t="s">
        <v>865</v>
      </c>
      <c r="M299" s="124" t="s">
        <v>981</v>
      </c>
      <c r="N299" s="290"/>
      <c r="O299" s="290"/>
      <c r="P299" s="290"/>
      <c r="Q299" s="290"/>
      <c r="R299" s="290"/>
    </row>
    <row r="300" spans="1:18" s="157" customFormat="1" ht="84" customHeight="1">
      <c r="A300" s="122">
        <v>641</v>
      </c>
      <c r="B300" s="28" t="s">
        <v>740</v>
      </c>
      <c r="C300" s="124"/>
      <c r="D300" s="126" t="s">
        <v>224</v>
      </c>
      <c r="E300" s="124"/>
      <c r="F300" s="124"/>
      <c r="G300" s="124"/>
      <c r="H300" s="124" t="s">
        <v>1004</v>
      </c>
      <c r="I300" s="124" t="s">
        <v>1012</v>
      </c>
      <c r="J300" s="124" t="s">
        <v>1013</v>
      </c>
      <c r="K300" s="119" t="s">
        <v>1250</v>
      </c>
      <c r="L300" s="124" t="s">
        <v>1252</v>
      </c>
      <c r="M300" s="124" t="s">
        <v>1251</v>
      </c>
      <c r="N300" s="57">
        <v>3465</v>
      </c>
      <c r="O300" s="57">
        <f>1634525.58/1000</f>
        <v>1634.52558</v>
      </c>
      <c r="P300" s="57">
        <v>3844</v>
      </c>
      <c r="Q300" s="57">
        <v>0</v>
      </c>
      <c r="R300" s="57">
        <v>0</v>
      </c>
    </row>
    <row r="301" spans="1:18" s="157" customFormat="1" ht="48.75" customHeight="1">
      <c r="A301" s="122">
        <v>657</v>
      </c>
      <c r="B301" s="28" t="s">
        <v>1026</v>
      </c>
      <c r="C301" s="110"/>
      <c r="D301" s="115" t="s">
        <v>864</v>
      </c>
      <c r="E301" s="110"/>
      <c r="F301" s="110"/>
      <c r="G301" s="110"/>
      <c r="H301" s="110"/>
      <c r="I301" s="110"/>
      <c r="J301" s="110"/>
      <c r="K301" s="119" t="s">
        <v>518</v>
      </c>
      <c r="L301" s="110"/>
      <c r="M301" s="110"/>
      <c r="N301" s="57">
        <v>0</v>
      </c>
      <c r="O301" s="57">
        <v>0</v>
      </c>
      <c r="P301" s="57">
        <v>1318.4</v>
      </c>
      <c r="Q301" s="57">
        <v>1318.4</v>
      </c>
      <c r="R301" s="57">
        <v>1318.4</v>
      </c>
    </row>
    <row r="302" spans="1:18" s="155" customFormat="1" ht="28.5" customHeight="1">
      <c r="A302" s="34"/>
      <c r="B302" s="28" t="s">
        <v>1137</v>
      </c>
      <c r="C302" s="8"/>
      <c r="D302" s="164" t="s">
        <v>864</v>
      </c>
      <c r="E302" s="3"/>
      <c r="F302" s="3"/>
      <c r="G302" s="3"/>
      <c r="H302" s="3"/>
      <c r="I302" s="3"/>
      <c r="J302" s="3"/>
      <c r="K302" s="80" t="s">
        <v>518</v>
      </c>
      <c r="L302" s="26"/>
      <c r="M302" s="26"/>
      <c r="N302" s="47">
        <v>0</v>
      </c>
      <c r="O302" s="47">
        <v>0</v>
      </c>
      <c r="P302" s="47">
        <v>1318.4</v>
      </c>
      <c r="Q302" s="47">
        <f>P302</f>
        <v>1318.4</v>
      </c>
      <c r="R302" s="47">
        <f>Q302</f>
        <v>1318.4</v>
      </c>
    </row>
    <row r="303" spans="1:18" s="157" customFormat="1" ht="37.5" customHeight="1">
      <c r="A303" s="109">
        <v>656</v>
      </c>
      <c r="B303" s="28" t="s">
        <v>1027</v>
      </c>
      <c r="C303" s="110"/>
      <c r="D303" s="115" t="s">
        <v>131</v>
      </c>
      <c r="E303" s="110"/>
      <c r="F303" s="110"/>
      <c r="G303" s="110"/>
      <c r="H303" s="110"/>
      <c r="I303" s="110"/>
      <c r="J303" s="110"/>
      <c r="K303" s="119" t="s">
        <v>518</v>
      </c>
      <c r="L303" s="110"/>
      <c r="M303" s="110"/>
      <c r="N303" s="57">
        <v>0</v>
      </c>
      <c r="O303" s="57">
        <v>0</v>
      </c>
      <c r="P303" s="57">
        <v>1357.2</v>
      </c>
      <c r="Q303" s="57">
        <v>0</v>
      </c>
      <c r="R303" s="57">
        <v>0</v>
      </c>
    </row>
    <row r="304" spans="1:18" s="157" customFormat="1" ht="37.5" customHeight="1">
      <c r="A304" s="109">
        <v>658</v>
      </c>
      <c r="B304" s="28" t="s">
        <v>1028</v>
      </c>
      <c r="C304" s="110"/>
      <c r="D304" s="115" t="s">
        <v>156</v>
      </c>
      <c r="E304" s="110"/>
      <c r="F304" s="110"/>
      <c r="G304" s="110"/>
      <c r="H304" s="110"/>
      <c r="I304" s="110"/>
      <c r="J304" s="110"/>
      <c r="K304" s="119" t="s">
        <v>518</v>
      </c>
      <c r="L304" s="110"/>
      <c r="M304" s="110"/>
      <c r="N304" s="57">
        <v>0</v>
      </c>
      <c r="O304" s="57">
        <v>0</v>
      </c>
      <c r="P304" s="57">
        <v>15.4</v>
      </c>
      <c r="Q304" s="57">
        <v>0</v>
      </c>
      <c r="R304" s="57">
        <v>0</v>
      </c>
    </row>
    <row r="305" spans="1:18" s="157" customFormat="1" ht="71.25" customHeight="1">
      <c r="A305" s="262">
        <v>645</v>
      </c>
      <c r="B305" s="209" t="s">
        <v>741</v>
      </c>
      <c r="C305" s="124"/>
      <c r="D305" s="264" t="s">
        <v>982</v>
      </c>
      <c r="E305" s="205"/>
      <c r="F305" s="205"/>
      <c r="G305" s="205"/>
      <c r="H305" s="205" t="s">
        <v>1000</v>
      </c>
      <c r="I305" s="205" t="s">
        <v>1001</v>
      </c>
      <c r="J305" s="205" t="s">
        <v>1002</v>
      </c>
      <c r="K305" s="119" t="s">
        <v>984</v>
      </c>
      <c r="L305" s="124" t="s">
        <v>77</v>
      </c>
      <c r="M305" s="124" t="s">
        <v>989</v>
      </c>
      <c r="N305" s="289">
        <v>59.925</v>
      </c>
      <c r="O305" s="289">
        <f>59925/1000</f>
        <v>59.925</v>
      </c>
      <c r="P305" s="289">
        <v>0</v>
      </c>
      <c r="Q305" s="289">
        <v>0</v>
      </c>
      <c r="R305" s="289">
        <v>0</v>
      </c>
    </row>
    <row r="306" spans="1:18" s="157" customFormat="1" ht="75" customHeight="1">
      <c r="A306" s="282"/>
      <c r="B306" s="280"/>
      <c r="C306" s="124"/>
      <c r="D306" s="286"/>
      <c r="E306" s="266"/>
      <c r="F306" s="266"/>
      <c r="G306" s="206"/>
      <c r="H306" s="206"/>
      <c r="I306" s="206"/>
      <c r="J306" s="206"/>
      <c r="K306" s="119" t="s">
        <v>985</v>
      </c>
      <c r="L306" s="124" t="s">
        <v>77</v>
      </c>
      <c r="M306" s="124" t="s">
        <v>990</v>
      </c>
      <c r="N306" s="290"/>
      <c r="O306" s="290"/>
      <c r="P306" s="290"/>
      <c r="Q306" s="290"/>
      <c r="R306" s="290"/>
    </row>
    <row r="307" spans="1:18" s="157" customFormat="1" ht="51" customHeight="1">
      <c r="A307" s="122">
        <v>646</v>
      </c>
      <c r="B307" s="28" t="s">
        <v>742</v>
      </c>
      <c r="C307" s="124"/>
      <c r="D307" s="126" t="s">
        <v>201</v>
      </c>
      <c r="E307" s="124"/>
      <c r="F307" s="124"/>
      <c r="G307" s="124"/>
      <c r="H307" s="124"/>
      <c r="I307" s="124"/>
      <c r="J307" s="124"/>
      <c r="K307" s="119" t="s">
        <v>986</v>
      </c>
      <c r="L307" s="124" t="s">
        <v>103</v>
      </c>
      <c r="M307" s="124" t="s">
        <v>991</v>
      </c>
      <c r="N307" s="57">
        <v>9120</v>
      </c>
      <c r="O307" s="57">
        <v>0</v>
      </c>
      <c r="P307" s="57">
        <v>0</v>
      </c>
      <c r="Q307" s="57">
        <v>0</v>
      </c>
      <c r="R307" s="57">
        <v>0</v>
      </c>
    </row>
    <row r="308" spans="1:18" s="157" customFormat="1" ht="96.75" customHeight="1">
      <c r="A308" s="122">
        <v>647</v>
      </c>
      <c r="B308" s="28" t="s">
        <v>756</v>
      </c>
      <c r="C308" s="124"/>
      <c r="D308" s="126" t="s">
        <v>156</v>
      </c>
      <c r="E308" s="124"/>
      <c r="F308" s="124"/>
      <c r="G308" s="124"/>
      <c r="H308" s="110" t="s">
        <v>1000</v>
      </c>
      <c r="I308" s="110" t="s">
        <v>1001</v>
      </c>
      <c r="J308" s="110" t="s">
        <v>1002</v>
      </c>
      <c r="K308" s="121" t="s">
        <v>987</v>
      </c>
      <c r="L308" s="124" t="s">
        <v>77</v>
      </c>
      <c r="M308" s="124" t="s">
        <v>992</v>
      </c>
      <c r="N308" s="57">
        <v>150</v>
      </c>
      <c r="O308" s="57">
        <v>150</v>
      </c>
      <c r="P308" s="57">
        <v>0</v>
      </c>
      <c r="Q308" s="57">
        <v>0</v>
      </c>
      <c r="R308" s="57">
        <v>0</v>
      </c>
    </row>
    <row r="309" spans="1:18" s="157" customFormat="1" ht="85.5" customHeight="1">
      <c r="A309" s="262">
        <v>329</v>
      </c>
      <c r="B309" s="209" t="s">
        <v>760</v>
      </c>
      <c r="C309" s="124"/>
      <c r="D309" s="264" t="s">
        <v>136</v>
      </c>
      <c r="E309" s="205"/>
      <c r="F309" s="205"/>
      <c r="G309" s="205"/>
      <c r="H309" s="205"/>
      <c r="I309" s="205"/>
      <c r="J309" s="205"/>
      <c r="K309" s="118" t="s">
        <v>993</v>
      </c>
      <c r="L309" s="127" t="s">
        <v>997</v>
      </c>
      <c r="M309" s="127" t="s">
        <v>603</v>
      </c>
      <c r="N309" s="289">
        <v>25</v>
      </c>
      <c r="O309" s="289">
        <v>25</v>
      </c>
      <c r="P309" s="289">
        <v>0</v>
      </c>
      <c r="Q309" s="289">
        <v>0</v>
      </c>
      <c r="R309" s="289">
        <v>0</v>
      </c>
    </row>
    <row r="310" spans="1:18" s="157" customFormat="1" ht="72.75" customHeight="1">
      <c r="A310" s="263"/>
      <c r="B310" s="210"/>
      <c r="C310" s="124"/>
      <c r="D310" s="265"/>
      <c r="E310" s="206"/>
      <c r="F310" s="206"/>
      <c r="G310" s="206"/>
      <c r="H310" s="206"/>
      <c r="I310" s="206"/>
      <c r="J310" s="206"/>
      <c r="K310" s="119" t="s">
        <v>994</v>
      </c>
      <c r="L310" s="128" t="s">
        <v>173</v>
      </c>
      <c r="M310" s="128" t="s">
        <v>998</v>
      </c>
      <c r="N310" s="290"/>
      <c r="O310" s="290"/>
      <c r="P310" s="290"/>
      <c r="Q310" s="290"/>
      <c r="R310" s="290"/>
    </row>
    <row r="311" spans="1:18" s="157" customFormat="1" ht="74.25" customHeight="1">
      <c r="A311" s="262">
        <v>651</v>
      </c>
      <c r="B311" s="209" t="s">
        <v>762</v>
      </c>
      <c r="C311" s="110"/>
      <c r="D311" s="292" t="s">
        <v>156</v>
      </c>
      <c r="E311" s="217"/>
      <c r="F311" s="217"/>
      <c r="G311" s="217"/>
      <c r="H311" s="217" t="s">
        <v>1000</v>
      </c>
      <c r="I311" s="217" t="s">
        <v>1001</v>
      </c>
      <c r="J311" s="217" t="s">
        <v>1002</v>
      </c>
      <c r="K311" s="118" t="s">
        <v>995</v>
      </c>
      <c r="L311" s="110" t="s">
        <v>173</v>
      </c>
      <c r="M311" s="110" t="s">
        <v>999</v>
      </c>
      <c r="N311" s="289">
        <v>59.76</v>
      </c>
      <c r="O311" s="289">
        <f>59.76</f>
        <v>59.76</v>
      </c>
      <c r="P311" s="289">
        <v>0</v>
      </c>
      <c r="Q311" s="289">
        <v>0</v>
      </c>
      <c r="R311" s="289">
        <v>0</v>
      </c>
    </row>
    <row r="312" spans="1:18" s="157" customFormat="1" ht="73.5" customHeight="1">
      <c r="A312" s="263"/>
      <c r="B312" s="210"/>
      <c r="C312" s="110"/>
      <c r="D312" s="293"/>
      <c r="E312" s="217"/>
      <c r="F312" s="217"/>
      <c r="G312" s="217"/>
      <c r="H312" s="217"/>
      <c r="I312" s="217"/>
      <c r="J312" s="217"/>
      <c r="K312" s="118" t="s">
        <v>996</v>
      </c>
      <c r="L312" s="110" t="s">
        <v>173</v>
      </c>
      <c r="M312" s="110" t="s">
        <v>999</v>
      </c>
      <c r="N312" s="290"/>
      <c r="O312" s="290"/>
      <c r="P312" s="290"/>
      <c r="Q312" s="290"/>
      <c r="R312" s="290"/>
    </row>
    <row r="313" spans="1:18" s="157" customFormat="1" ht="48" customHeight="1">
      <c r="A313" s="109">
        <v>330</v>
      </c>
      <c r="B313" s="28" t="s">
        <v>1014</v>
      </c>
      <c r="C313" s="110"/>
      <c r="D313" s="115" t="s">
        <v>131</v>
      </c>
      <c r="E313" s="110"/>
      <c r="F313" s="110"/>
      <c r="G313" s="110"/>
      <c r="H313" s="110"/>
      <c r="I313" s="110"/>
      <c r="J313" s="110"/>
      <c r="K313" s="103" t="s">
        <v>1093</v>
      </c>
      <c r="L313" s="110" t="s">
        <v>865</v>
      </c>
      <c r="M313" s="110" t="s">
        <v>1031</v>
      </c>
      <c r="N313" s="57">
        <v>356.132</v>
      </c>
      <c r="O313" s="57">
        <f>356.132</f>
        <v>356.132</v>
      </c>
      <c r="P313" s="57">
        <v>0</v>
      </c>
      <c r="Q313" s="57">
        <v>0</v>
      </c>
      <c r="R313" s="57">
        <v>0</v>
      </c>
    </row>
    <row r="314" spans="1:18" s="157" customFormat="1" ht="59.25" customHeight="1">
      <c r="A314" s="109">
        <v>331</v>
      </c>
      <c r="B314" s="28" t="s">
        <v>1015</v>
      </c>
      <c r="C314" s="110"/>
      <c r="D314" s="115" t="s">
        <v>131</v>
      </c>
      <c r="E314" s="110"/>
      <c r="F314" s="110"/>
      <c r="G314" s="110"/>
      <c r="H314" s="110"/>
      <c r="I314" s="110"/>
      <c r="J314" s="110"/>
      <c r="K314" s="103" t="s">
        <v>1034</v>
      </c>
      <c r="L314" s="110" t="s">
        <v>865</v>
      </c>
      <c r="M314" s="110" t="s">
        <v>1035</v>
      </c>
      <c r="N314" s="57">
        <v>100</v>
      </c>
      <c r="O314" s="57">
        <f>99872/1000</f>
        <v>99.872</v>
      </c>
      <c r="P314" s="57">
        <v>0</v>
      </c>
      <c r="Q314" s="57">
        <v>0</v>
      </c>
      <c r="R314" s="57">
        <v>0</v>
      </c>
    </row>
    <row r="315" spans="1:18" s="157" customFormat="1" ht="61.5" customHeight="1">
      <c r="A315" s="109">
        <v>332</v>
      </c>
      <c r="B315" s="28" t="s">
        <v>1016</v>
      </c>
      <c r="C315" s="110"/>
      <c r="D315" s="115" t="s">
        <v>11</v>
      </c>
      <c r="E315" s="110"/>
      <c r="F315" s="110"/>
      <c r="G315" s="110"/>
      <c r="H315" s="110"/>
      <c r="I315" s="110"/>
      <c r="J315" s="110"/>
      <c r="K315" s="103" t="s">
        <v>1037</v>
      </c>
      <c r="L315" s="110" t="s">
        <v>865</v>
      </c>
      <c r="M315" s="110" t="s">
        <v>1035</v>
      </c>
      <c r="N315" s="57">
        <v>78.49</v>
      </c>
      <c r="O315" s="57">
        <v>78.49</v>
      </c>
      <c r="P315" s="57">
        <v>0</v>
      </c>
      <c r="Q315" s="57">
        <v>0</v>
      </c>
      <c r="R315" s="57">
        <v>0</v>
      </c>
    </row>
    <row r="316" spans="1:18" s="157" customFormat="1" ht="59.25" customHeight="1">
      <c r="A316" s="109">
        <v>652</v>
      </c>
      <c r="B316" s="28" t="s">
        <v>1017</v>
      </c>
      <c r="C316" s="110"/>
      <c r="D316" s="115" t="s">
        <v>864</v>
      </c>
      <c r="E316" s="110"/>
      <c r="F316" s="110"/>
      <c r="G316" s="110"/>
      <c r="H316" s="110" t="s">
        <v>1000</v>
      </c>
      <c r="I316" s="110" t="s">
        <v>1001</v>
      </c>
      <c r="J316" s="110" t="s">
        <v>1002</v>
      </c>
      <c r="K316" s="103" t="s">
        <v>1029</v>
      </c>
      <c r="L316" s="110" t="s">
        <v>531</v>
      </c>
      <c r="M316" s="110" t="s">
        <v>1030</v>
      </c>
      <c r="N316" s="57">
        <v>60.696</v>
      </c>
      <c r="O316" s="57">
        <f>60696/1000</f>
        <v>60.696</v>
      </c>
      <c r="P316" s="57">
        <v>0</v>
      </c>
      <c r="Q316" s="57">
        <v>0</v>
      </c>
      <c r="R316" s="57">
        <v>0</v>
      </c>
    </row>
    <row r="317" spans="1:18" s="157" customFormat="1" ht="62.25" customHeight="1">
      <c r="A317" s="109">
        <v>653</v>
      </c>
      <c r="B317" s="28" t="s">
        <v>1018</v>
      </c>
      <c r="C317" s="110"/>
      <c r="D317" s="115" t="s">
        <v>278</v>
      </c>
      <c r="E317" s="110"/>
      <c r="F317" s="110"/>
      <c r="G317" s="110"/>
      <c r="H317" s="110" t="s">
        <v>1000</v>
      </c>
      <c r="I317" s="110" t="s">
        <v>1001</v>
      </c>
      <c r="J317" s="110" t="s">
        <v>1002</v>
      </c>
      <c r="K317" s="103" t="s">
        <v>1040</v>
      </c>
      <c r="L317" s="110" t="s">
        <v>7</v>
      </c>
      <c r="M317" s="110" t="s">
        <v>1041</v>
      </c>
      <c r="N317" s="57">
        <v>37.47</v>
      </c>
      <c r="O317" s="57">
        <f>37470/1000</f>
        <v>37.47</v>
      </c>
      <c r="P317" s="57">
        <v>0</v>
      </c>
      <c r="Q317" s="57">
        <v>0</v>
      </c>
      <c r="R317" s="57">
        <v>0</v>
      </c>
    </row>
    <row r="318" spans="1:18" s="155" customFormat="1" ht="96" customHeight="1">
      <c r="A318" s="34">
        <v>657</v>
      </c>
      <c r="B318" s="28" t="s">
        <v>1020</v>
      </c>
      <c r="C318" s="8"/>
      <c r="D318" s="64" t="s">
        <v>278</v>
      </c>
      <c r="E318" s="3"/>
      <c r="F318" s="3"/>
      <c r="G318" s="3"/>
      <c r="H318" s="110" t="s">
        <v>1000</v>
      </c>
      <c r="I318" s="110" t="s">
        <v>1001</v>
      </c>
      <c r="J318" s="110" t="s">
        <v>1002</v>
      </c>
      <c r="K318" s="25" t="s">
        <v>1049</v>
      </c>
      <c r="L318" s="25" t="s">
        <v>77</v>
      </c>
      <c r="M318" s="25" t="s">
        <v>1048</v>
      </c>
      <c r="N318" s="47">
        <v>60</v>
      </c>
      <c r="O318" s="47">
        <v>60</v>
      </c>
      <c r="P318" s="47">
        <v>0</v>
      </c>
      <c r="Q318" s="47">
        <v>0</v>
      </c>
      <c r="R318" s="47">
        <v>0</v>
      </c>
    </row>
    <row r="319" spans="1:18" s="157" customFormat="1" ht="111" customHeight="1">
      <c r="A319" s="262">
        <v>655</v>
      </c>
      <c r="B319" s="294" t="s">
        <v>1019</v>
      </c>
      <c r="C319" s="110"/>
      <c r="D319" s="264" t="s">
        <v>156</v>
      </c>
      <c r="E319" s="205"/>
      <c r="F319" s="205"/>
      <c r="G319" s="205"/>
      <c r="H319" s="205" t="s">
        <v>1044</v>
      </c>
      <c r="I319" s="205" t="s">
        <v>173</v>
      </c>
      <c r="J319" s="205" t="s">
        <v>1045</v>
      </c>
      <c r="K319" s="118" t="s">
        <v>1042</v>
      </c>
      <c r="L319" s="112" t="s">
        <v>103</v>
      </c>
      <c r="M319" s="112" t="s">
        <v>1043</v>
      </c>
      <c r="N319" s="132">
        <v>20486.55</v>
      </c>
      <c r="O319" s="132">
        <f>20486550/1000</f>
        <v>20486.55</v>
      </c>
      <c r="P319" s="132">
        <v>0</v>
      </c>
      <c r="Q319" s="132">
        <v>0</v>
      </c>
      <c r="R319" s="132">
        <v>0</v>
      </c>
    </row>
    <row r="320" spans="1:18" s="157" customFormat="1" ht="94.5" customHeight="1">
      <c r="A320" s="263"/>
      <c r="B320" s="295"/>
      <c r="C320" s="110"/>
      <c r="D320" s="265"/>
      <c r="E320" s="206"/>
      <c r="F320" s="206"/>
      <c r="G320" s="206"/>
      <c r="H320" s="206"/>
      <c r="I320" s="206"/>
      <c r="J320" s="206"/>
      <c r="K320" s="119" t="s">
        <v>1059</v>
      </c>
      <c r="L320" s="113" t="s">
        <v>103</v>
      </c>
      <c r="M320" s="113" t="s">
        <v>1043</v>
      </c>
      <c r="N320" s="133"/>
      <c r="O320" s="133"/>
      <c r="P320" s="133"/>
      <c r="Q320" s="133"/>
      <c r="R320" s="133"/>
    </row>
    <row r="321" spans="1:18" s="157" customFormat="1" ht="61.5" customHeight="1">
      <c r="A321" s="109">
        <v>333</v>
      </c>
      <c r="B321" s="28" t="s">
        <v>1054</v>
      </c>
      <c r="C321" s="110"/>
      <c r="D321" s="115" t="s">
        <v>224</v>
      </c>
      <c r="E321" s="110"/>
      <c r="F321" s="110"/>
      <c r="G321" s="110"/>
      <c r="H321" s="110"/>
      <c r="I321" s="110"/>
      <c r="J321" s="110"/>
      <c r="K321" s="118" t="s">
        <v>1052</v>
      </c>
      <c r="L321" s="110" t="s">
        <v>865</v>
      </c>
      <c r="M321" s="110" t="s">
        <v>1053</v>
      </c>
      <c r="N321" s="57">
        <v>100</v>
      </c>
      <c r="O321" s="57">
        <v>100</v>
      </c>
      <c r="P321" s="57">
        <v>0</v>
      </c>
      <c r="Q321" s="57">
        <v>0</v>
      </c>
      <c r="R321" s="57">
        <v>0</v>
      </c>
    </row>
    <row r="322" spans="1:18" s="157" customFormat="1" ht="60" customHeight="1">
      <c r="A322" s="122">
        <v>334</v>
      </c>
      <c r="B322" s="28" t="s">
        <v>1094</v>
      </c>
      <c r="C322" s="124"/>
      <c r="D322" s="134" t="s">
        <v>156</v>
      </c>
      <c r="E322" s="113"/>
      <c r="F322" s="113"/>
      <c r="G322" s="110"/>
      <c r="H322" s="110"/>
      <c r="I322" s="110"/>
      <c r="J322" s="110"/>
      <c r="K322" s="118" t="s">
        <v>1055</v>
      </c>
      <c r="L322" s="110" t="s">
        <v>865</v>
      </c>
      <c r="M322" s="110" t="s">
        <v>1053</v>
      </c>
      <c r="N322" s="57">
        <v>142</v>
      </c>
      <c r="O322" s="57">
        <v>142</v>
      </c>
      <c r="P322" s="57">
        <v>0</v>
      </c>
      <c r="Q322" s="57">
        <v>0</v>
      </c>
      <c r="R322" s="57">
        <v>0</v>
      </c>
    </row>
    <row r="323" spans="1:18" s="157" customFormat="1" ht="96" customHeight="1">
      <c r="A323" s="109">
        <v>659</v>
      </c>
      <c r="B323" s="28" t="s">
        <v>1056</v>
      </c>
      <c r="C323" s="110"/>
      <c r="D323" s="115" t="s">
        <v>271</v>
      </c>
      <c r="E323" s="110"/>
      <c r="F323" s="110"/>
      <c r="G323" s="110"/>
      <c r="H323" s="110" t="s">
        <v>1000</v>
      </c>
      <c r="I323" s="110" t="s">
        <v>1001</v>
      </c>
      <c r="J323" s="110" t="s">
        <v>1002</v>
      </c>
      <c r="K323" s="103" t="s">
        <v>1057</v>
      </c>
      <c r="L323" s="110" t="s">
        <v>103</v>
      </c>
      <c r="M323" s="110" t="s">
        <v>1058</v>
      </c>
      <c r="N323" s="57">
        <v>500</v>
      </c>
      <c r="O323" s="57">
        <v>500</v>
      </c>
      <c r="P323" s="57">
        <v>0</v>
      </c>
      <c r="Q323" s="57">
        <v>0</v>
      </c>
      <c r="R323" s="57">
        <v>0</v>
      </c>
    </row>
    <row r="324" spans="1:18" s="157" customFormat="1" ht="121.5" customHeight="1">
      <c r="A324" s="109">
        <v>333</v>
      </c>
      <c r="B324" s="28" t="s">
        <v>1135</v>
      </c>
      <c r="C324" s="110"/>
      <c r="D324" s="115" t="s">
        <v>131</v>
      </c>
      <c r="E324" s="110"/>
      <c r="F324" s="110"/>
      <c r="G324" s="110"/>
      <c r="H324" s="110"/>
      <c r="I324" s="110"/>
      <c r="J324" s="110"/>
      <c r="K324" s="103" t="s">
        <v>1143</v>
      </c>
      <c r="L324" s="110" t="s">
        <v>62</v>
      </c>
      <c r="M324" s="110" t="s">
        <v>1144</v>
      </c>
      <c r="N324" s="57">
        <v>0</v>
      </c>
      <c r="O324" s="57">
        <v>0</v>
      </c>
      <c r="P324" s="57">
        <v>2154</v>
      </c>
      <c r="Q324" s="57">
        <v>0</v>
      </c>
      <c r="R324" s="57">
        <v>0</v>
      </c>
    </row>
    <row r="325" spans="1:18" s="157" customFormat="1" ht="134.25" customHeight="1">
      <c r="A325" s="109">
        <v>301</v>
      </c>
      <c r="B325" s="28" t="s">
        <v>1157</v>
      </c>
      <c r="C325" s="110"/>
      <c r="D325" s="115" t="s">
        <v>131</v>
      </c>
      <c r="E325" s="110"/>
      <c r="F325" s="110"/>
      <c r="G325" s="110"/>
      <c r="H325" s="110"/>
      <c r="I325" s="110"/>
      <c r="J325" s="110"/>
      <c r="K325" s="165" t="s">
        <v>1158</v>
      </c>
      <c r="L325" s="110" t="s">
        <v>1141</v>
      </c>
      <c r="M325" s="110" t="s">
        <v>1204</v>
      </c>
      <c r="N325" s="57">
        <v>0</v>
      </c>
      <c r="O325" s="57">
        <v>0</v>
      </c>
      <c r="P325" s="57">
        <v>3000</v>
      </c>
      <c r="Q325" s="57">
        <v>0</v>
      </c>
      <c r="R325" s="57">
        <v>0</v>
      </c>
    </row>
    <row r="326" spans="1:18" s="157" customFormat="1" ht="63.75" customHeight="1">
      <c r="A326" s="109">
        <v>312</v>
      </c>
      <c r="B326" s="28" t="s">
        <v>1159</v>
      </c>
      <c r="C326" s="110"/>
      <c r="D326" s="115" t="s">
        <v>11</v>
      </c>
      <c r="E326" s="110"/>
      <c r="F326" s="110"/>
      <c r="G326" s="110"/>
      <c r="H326" s="110"/>
      <c r="I326" s="110"/>
      <c r="J326" s="110"/>
      <c r="K326" s="165" t="s">
        <v>1160</v>
      </c>
      <c r="L326" s="110" t="s">
        <v>1141</v>
      </c>
      <c r="M326" s="110" t="s">
        <v>1204</v>
      </c>
      <c r="N326" s="57">
        <v>0</v>
      </c>
      <c r="O326" s="57">
        <v>0</v>
      </c>
      <c r="P326" s="57">
        <v>99</v>
      </c>
      <c r="Q326" s="57">
        <v>0</v>
      </c>
      <c r="R326" s="57">
        <v>0</v>
      </c>
    </row>
    <row r="327" spans="1:18" s="157" customFormat="1" ht="63.75" customHeight="1">
      <c r="A327" s="109">
        <v>303</v>
      </c>
      <c r="B327" s="28" t="s">
        <v>1161</v>
      </c>
      <c r="C327" s="110"/>
      <c r="D327" s="115" t="s">
        <v>11</v>
      </c>
      <c r="E327" s="110"/>
      <c r="F327" s="110"/>
      <c r="G327" s="110"/>
      <c r="H327" s="110"/>
      <c r="I327" s="110"/>
      <c r="J327" s="110"/>
      <c r="K327" s="165" t="s">
        <v>1162</v>
      </c>
      <c r="L327" s="110" t="s">
        <v>1141</v>
      </c>
      <c r="M327" s="110" t="s">
        <v>1204</v>
      </c>
      <c r="N327" s="57">
        <v>0</v>
      </c>
      <c r="O327" s="57">
        <v>0</v>
      </c>
      <c r="P327" s="57">
        <v>100</v>
      </c>
      <c r="Q327" s="57">
        <v>0</v>
      </c>
      <c r="R327" s="57">
        <v>0</v>
      </c>
    </row>
    <row r="328" spans="1:18" s="157" customFormat="1" ht="39.75" customHeight="1">
      <c r="A328" s="109">
        <v>304</v>
      </c>
      <c r="B328" s="28" t="s">
        <v>1163</v>
      </c>
      <c r="C328" s="110"/>
      <c r="D328" s="115" t="s">
        <v>11</v>
      </c>
      <c r="E328" s="110"/>
      <c r="F328" s="110"/>
      <c r="G328" s="110"/>
      <c r="H328" s="110"/>
      <c r="I328" s="110"/>
      <c r="J328" s="110"/>
      <c r="K328" s="165" t="s">
        <v>1164</v>
      </c>
      <c r="L328" s="110" t="s">
        <v>1141</v>
      </c>
      <c r="M328" s="110" t="s">
        <v>1204</v>
      </c>
      <c r="N328" s="57">
        <v>0</v>
      </c>
      <c r="O328" s="57">
        <v>0</v>
      </c>
      <c r="P328" s="57">
        <v>60</v>
      </c>
      <c r="Q328" s="57">
        <v>0</v>
      </c>
      <c r="R328" s="57">
        <v>0</v>
      </c>
    </row>
    <row r="329" spans="1:18" s="157" customFormat="1" ht="39" customHeight="1">
      <c r="A329" s="109">
        <v>305</v>
      </c>
      <c r="B329" s="166" t="s">
        <v>1166</v>
      </c>
      <c r="C329" s="110"/>
      <c r="D329" s="115" t="s">
        <v>131</v>
      </c>
      <c r="E329" s="110"/>
      <c r="F329" s="110"/>
      <c r="G329" s="110"/>
      <c r="H329" s="110"/>
      <c r="I329" s="110"/>
      <c r="J329" s="110"/>
      <c r="K329" s="165" t="s">
        <v>1165</v>
      </c>
      <c r="L329" s="110" t="s">
        <v>1141</v>
      </c>
      <c r="M329" s="110" t="s">
        <v>1204</v>
      </c>
      <c r="N329" s="57">
        <v>0</v>
      </c>
      <c r="O329" s="57">
        <v>0</v>
      </c>
      <c r="P329" s="57">
        <v>500</v>
      </c>
      <c r="Q329" s="57">
        <v>0</v>
      </c>
      <c r="R329" s="57">
        <v>0</v>
      </c>
    </row>
    <row r="330" spans="1:18" s="157" customFormat="1" ht="52.5" customHeight="1">
      <c r="A330" s="109">
        <v>306</v>
      </c>
      <c r="B330" s="166" t="s">
        <v>1167</v>
      </c>
      <c r="C330" s="110"/>
      <c r="D330" s="115" t="s">
        <v>135</v>
      </c>
      <c r="E330" s="110"/>
      <c r="F330" s="110"/>
      <c r="G330" s="110"/>
      <c r="H330" s="110"/>
      <c r="I330" s="110"/>
      <c r="J330" s="110"/>
      <c r="K330" s="165" t="s">
        <v>1168</v>
      </c>
      <c r="L330" s="110" t="s">
        <v>1141</v>
      </c>
      <c r="M330" s="110" t="s">
        <v>1203</v>
      </c>
      <c r="N330" s="57">
        <v>0</v>
      </c>
      <c r="O330" s="57">
        <v>0</v>
      </c>
      <c r="P330" s="57">
        <v>80</v>
      </c>
      <c r="Q330" s="57">
        <v>0</v>
      </c>
      <c r="R330" s="57">
        <v>0</v>
      </c>
    </row>
    <row r="331" spans="1:18" s="157" customFormat="1" ht="72.75" customHeight="1">
      <c r="A331" s="109">
        <v>307</v>
      </c>
      <c r="B331" s="166" t="s">
        <v>1169</v>
      </c>
      <c r="C331" s="110"/>
      <c r="D331" s="115" t="s">
        <v>278</v>
      </c>
      <c r="E331" s="110"/>
      <c r="F331" s="110"/>
      <c r="G331" s="110"/>
      <c r="H331" s="110"/>
      <c r="I331" s="110"/>
      <c r="J331" s="110"/>
      <c r="K331" s="165" t="s">
        <v>1205</v>
      </c>
      <c r="L331" s="110" t="s">
        <v>1141</v>
      </c>
      <c r="M331" s="110" t="s">
        <v>1204</v>
      </c>
      <c r="N331" s="57">
        <v>0</v>
      </c>
      <c r="O331" s="57">
        <v>0</v>
      </c>
      <c r="P331" s="57">
        <v>550</v>
      </c>
      <c r="Q331" s="57">
        <v>0</v>
      </c>
      <c r="R331" s="57">
        <v>0</v>
      </c>
    </row>
    <row r="332" spans="1:18" s="157" customFormat="1" ht="74.25" customHeight="1">
      <c r="A332" s="109">
        <v>308</v>
      </c>
      <c r="B332" s="166" t="s">
        <v>1170</v>
      </c>
      <c r="C332" s="110"/>
      <c r="D332" s="115" t="s">
        <v>131</v>
      </c>
      <c r="E332" s="110"/>
      <c r="F332" s="110"/>
      <c r="G332" s="110"/>
      <c r="H332" s="110"/>
      <c r="I332" s="110"/>
      <c r="J332" s="110"/>
      <c r="K332" s="165" t="s">
        <v>1171</v>
      </c>
      <c r="L332" s="110" t="s">
        <v>1141</v>
      </c>
      <c r="M332" s="110" t="s">
        <v>1237</v>
      </c>
      <c r="N332" s="57">
        <v>0</v>
      </c>
      <c r="O332" s="57">
        <v>0</v>
      </c>
      <c r="P332" s="57">
        <v>2000</v>
      </c>
      <c r="Q332" s="57">
        <v>0</v>
      </c>
      <c r="R332" s="57">
        <v>0</v>
      </c>
    </row>
    <row r="333" spans="1:18" s="157" customFormat="1" ht="49.5" customHeight="1">
      <c r="A333" s="109">
        <v>309</v>
      </c>
      <c r="B333" s="166" t="s">
        <v>1173</v>
      </c>
      <c r="C333" s="110"/>
      <c r="D333" s="115" t="s">
        <v>156</v>
      </c>
      <c r="E333" s="110"/>
      <c r="F333" s="110"/>
      <c r="G333" s="110"/>
      <c r="H333" s="110"/>
      <c r="I333" s="110"/>
      <c r="J333" s="110"/>
      <c r="K333" s="165" t="s">
        <v>1172</v>
      </c>
      <c r="L333" s="110" t="s">
        <v>1141</v>
      </c>
      <c r="M333" s="110" t="s">
        <v>1237</v>
      </c>
      <c r="N333" s="57">
        <v>0</v>
      </c>
      <c r="O333" s="57">
        <v>0</v>
      </c>
      <c r="P333" s="57">
        <v>382.6</v>
      </c>
      <c r="Q333" s="57">
        <v>0</v>
      </c>
      <c r="R333" s="57">
        <v>0</v>
      </c>
    </row>
    <row r="334" spans="1:18" s="157" customFormat="1" ht="49.5" customHeight="1">
      <c r="A334" s="109">
        <v>310</v>
      </c>
      <c r="B334" s="166" t="s">
        <v>1174</v>
      </c>
      <c r="C334" s="110"/>
      <c r="D334" s="115" t="s">
        <v>156</v>
      </c>
      <c r="E334" s="110"/>
      <c r="F334" s="110"/>
      <c r="G334" s="110"/>
      <c r="H334" s="110"/>
      <c r="I334" s="110"/>
      <c r="J334" s="110"/>
      <c r="K334" s="165" t="s">
        <v>1175</v>
      </c>
      <c r="L334" s="110" t="s">
        <v>1141</v>
      </c>
      <c r="M334" s="110" t="s">
        <v>1237</v>
      </c>
      <c r="N334" s="57">
        <v>0</v>
      </c>
      <c r="O334" s="57">
        <v>0</v>
      </c>
      <c r="P334" s="57">
        <v>3000</v>
      </c>
      <c r="Q334" s="57">
        <v>0</v>
      </c>
      <c r="R334" s="57">
        <v>0</v>
      </c>
    </row>
    <row r="335" spans="1:18" s="157" customFormat="1" ht="62.25" customHeight="1">
      <c r="A335" s="109">
        <v>311</v>
      </c>
      <c r="B335" s="166" t="s">
        <v>1176</v>
      </c>
      <c r="C335" s="110"/>
      <c r="D335" s="115" t="s">
        <v>131</v>
      </c>
      <c r="E335" s="110"/>
      <c r="F335" s="110"/>
      <c r="G335" s="110"/>
      <c r="H335" s="110"/>
      <c r="I335" s="110"/>
      <c r="J335" s="110"/>
      <c r="K335" s="167" t="s">
        <v>1177</v>
      </c>
      <c r="L335" s="110" t="s">
        <v>1141</v>
      </c>
      <c r="M335" s="110" t="s">
        <v>1237</v>
      </c>
      <c r="N335" s="57">
        <v>0</v>
      </c>
      <c r="O335" s="57">
        <v>0</v>
      </c>
      <c r="P335" s="57">
        <v>50</v>
      </c>
      <c r="Q335" s="57">
        <v>0</v>
      </c>
      <c r="R335" s="57">
        <v>0</v>
      </c>
    </row>
    <row r="336" spans="1:18" s="157" customFormat="1" ht="77.25" customHeight="1">
      <c r="A336" s="109">
        <v>334</v>
      </c>
      <c r="B336" s="176" t="s">
        <v>1215</v>
      </c>
      <c r="C336" s="110"/>
      <c r="D336" s="115" t="s">
        <v>545</v>
      </c>
      <c r="E336" s="110"/>
      <c r="F336" s="110"/>
      <c r="G336" s="110"/>
      <c r="H336" s="124"/>
      <c r="I336" s="124"/>
      <c r="J336" s="124"/>
      <c r="K336" s="167" t="s">
        <v>1227</v>
      </c>
      <c r="L336" s="110" t="s">
        <v>1141</v>
      </c>
      <c r="M336" s="110" t="s">
        <v>1228</v>
      </c>
      <c r="N336" s="57">
        <v>0</v>
      </c>
      <c r="O336" s="57">
        <v>0</v>
      </c>
      <c r="P336" s="57">
        <v>140</v>
      </c>
      <c r="Q336" s="57">
        <v>0</v>
      </c>
      <c r="R336" s="57">
        <v>0</v>
      </c>
    </row>
    <row r="337" spans="1:18" s="157" customFormat="1" ht="109.5" customHeight="1">
      <c r="A337" s="109">
        <v>800</v>
      </c>
      <c r="B337" s="27" t="s">
        <v>1186</v>
      </c>
      <c r="C337" s="110"/>
      <c r="D337" s="115" t="s">
        <v>131</v>
      </c>
      <c r="E337" s="110"/>
      <c r="F337" s="110"/>
      <c r="G337" s="110"/>
      <c r="H337" s="124" t="s">
        <v>1006</v>
      </c>
      <c r="I337" s="124" t="s">
        <v>1011</v>
      </c>
      <c r="J337" s="124" t="s">
        <v>1003</v>
      </c>
      <c r="K337" s="103" t="s">
        <v>1155</v>
      </c>
      <c r="L337" s="110" t="s">
        <v>531</v>
      </c>
      <c r="M337" s="110" t="s">
        <v>1187</v>
      </c>
      <c r="N337" s="57">
        <v>0</v>
      </c>
      <c r="O337" s="57">
        <v>0</v>
      </c>
      <c r="P337" s="57">
        <v>3000</v>
      </c>
      <c r="Q337" s="57">
        <v>0</v>
      </c>
      <c r="R337" s="57">
        <v>0</v>
      </c>
    </row>
    <row r="338" spans="1:18" s="157" customFormat="1" ht="135.75" customHeight="1">
      <c r="A338" s="109">
        <v>801</v>
      </c>
      <c r="B338" s="28" t="s">
        <v>1178</v>
      </c>
      <c r="C338" s="110"/>
      <c r="D338" s="115" t="s">
        <v>184</v>
      </c>
      <c r="E338" s="18" t="s">
        <v>181</v>
      </c>
      <c r="F338" s="18" t="s">
        <v>182</v>
      </c>
      <c r="G338" s="18" t="s">
        <v>860</v>
      </c>
      <c r="H338" s="17" t="s">
        <v>1125</v>
      </c>
      <c r="I338" s="17" t="s">
        <v>173</v>
      </c>
      <c r="J338" s="17" t="s">
        <v>530</v>
      </c>
      <c r="K338" s="30" t="s">
        <v>937</v>
      </c>
      <c r="L338" s="24" t="s">
        <v>173</v>
      </c>
      <c r="M338" s="24" t="s">
        <v>899</v>
      </c>
      <c r="N338" s="57">
        <v>0</v>
      </c>
      <c r="O338" s="57">
        <v>0</v>
      </c>
      <c r="P338" s="57">
        <v>2600.966</v>
      </c>
      <c r="Q338" s="57">
        <v>0</v>
      </c>
      <c r="R338" s="57">
        <v>0</v>
      </c>
    </row>
    <row r="339" spans="1:18" s="157" customFormat="1" ht="156.75" customHeight="1">
      <c r="A339" s="109">
        <v>802</v>
      </c>
      <c r="B339" s="28" t="s">
        <v>1179</v>
      </c>
      <c r="C339" s="110"/>
      <c r="D339" s="115" t="s">
        <v>184</v>
      </c>
      <c r="E339" s="18" t="s">
        <v>181</v>
      </c>
      <c r="F339" s="18" t="s">
        <v>182</v>
      </c>
      <c r="G339" s="18" t="s">
        <v>860</v>
      </c>
      <c r="H339" s="110" t="s">
        <v>432</v>
      </c>
      <c r="I339" s="110" t="s">
        <v>180</v>
      </c>
      <c r="J339" s="110" t="s">
        <v>179</v>
      </c>
      <c r="K339" s="167" t="s">
        <v>1180</v>
      </c>
      <c r="L339" s="110" t="s">
        <v>222</v>
      </c>
      <c r="M339" s="110" t="s">
        <v>197</v>
      </c>
      <c r="N339" s="57">
        <v>0</v>
      </c>
      <c r="O339" s="57">
        <v>0</v>
      </c>
      <c r="P339" s="57">
        <v>110.552</v>
      </c>
      <c r="Q339" s="57">
        <v>0</v>
      </c>
      <c r="R339" s="57">
        <v>0</v>
      </c>
    </row>
    <row r="340" spans="1:18" s="157" customFormat="1" ht="86.25" customHeight="1">
      <c r="A340" s="109">
        <v>804</v>
      </c>
      <c r="B340" s="27" t="s">
        <v>1213</v>
      </c>
      <c r="C340" s="110"/>
      <c r="D340" s="115" t="s">
        <v>224</v>
      </c>
      <c r="E340" s="18"/>
      <c r="F340" s="18"/>
      <c r="G340" s="18"/>
      <c r="H340" s="110" t="s">
        <v>1004</v>
      </c>
      <c r="I340" s="110" t="s">
        <v>1221</v>
      </c>
      <c r="J340" s="110" t="s">
        <v>386</v>
      </c>
      <c r="K340" s="167" t="s">
        <v>1219</v>
      </c>
      <c r="L340" s="110" t="s">
        <v>103</v>
      </c>
      <c r="M340" s="110" t="s">
        <v>1220</v>
      </c>
      <c r="N340" s="57">
        <v>0</v>
      </c>
      <c r="O340" s="57">
        <v>0</v>
      </c>
      <c r="P340" s="57">
        <v>1830.47442</v>
      </c>
      <c r="Q340" s="57">
        <v>0</v>
      </c>
      <c r="R340" s="57">
        <v>0</v>
      </c>
    </row>
    <row r="341" spans="1:18" s="157" customFormat="1" ht="85.5" customHeight="1">
      <c r="A341" s="109">
        <v>806</v>
      </c>
      <c r="B341" s="27" t="s">
        <v>1181</v>
      </c>
      <c r="C341" s="110"/>
      <c r="D341" s="115" t="s">
        <v>135</v>
      </c>
      <c r="E341" s="110"/>
      <c r="F341" s="110"/>
      <c r="G341" s="110"/>
      <c r="H341" s="110" t="s">
        <v>1190</v>
      </c>
      <c r="I341" s="110" t="s">
        <v>1191</v>
      </c>
      <c r="J341" s="110" t="s">
        <v>1003</v>
      </c>
      <c r="K341" s="103" t="s">
        <v>1188</v>
      </c>
      <c r="L341" s="110" t="s">
        <v>865</v>
      </c>
      <c r="M341" s="110" t="s">
        <v>1189</v>
      </c>
      <c r="N341" s="57">
        <v>0</v>
      </c>
      <c r="O341" s="57">
        <v>0</v>
      </c>
      <c r="P341" s="57">
        <v>3471.53</v>
      </c>
      <c r="Q341" s="57">
        <v>0</v>
      </c>
      <c r="R341" s="57">
        <v>0</v>
      </c>
    </row>
    <row r="342" spans="1:18" s="155" customFormat="1" ht="72.75" customHeight="1">
      <c r="A342" s="88"/>
      <c r="B342" s="28" t="s">
        <v>1261</v>
      </c>
      <c r="C342" s="11"/>
      <c r="D342" s="92" t="s">
        <v>156</v>
      </c>
      <c r="E342" s="3"/>
      <c r="F342" s="3"/>
      <c r="G342" s="3"/>
      <c r="H342" s="110" t="s">
        <v>1000</v>
      </c>
      <c r="I342" s="110" t="s">
        <v>1001</v>
      </c>
      <c r="J342" s="110" t="s">
        <v>1002</v>
      </c>
      <c r="K342" s="26" t="s">
        <v>1277</v>
      </c>
      <c r="L342" s="26" t="s">
        <v>531</v>
      </c>
      <c r="M342" s="61" t="s">
        <v>1274</v>
      </c>
      <c r="N342" s="54">
        <v>0</v>
      </c>
      <c r="O342" s="54">
        <v>0</v>
      </c>
      <c r="P342" s="54">
        <v>29.835</v>
      </c>
      <c r="Q342" s="54">
        <v>0</v>
      </c>
      <c r="R342" s="54">
        <v>0</v>
      </c>
    </row>
    <row r="343" spans="1:18" s="155" customFormat="1" ht="99" customHeight="1">
      <c r="A343" s="193"/>
      <c r="B343" s="209" t="s">
        <v>1260</v>
      </c>
      <c r="C343" s="11"/>
      <c r="D343" s="195" t="s">
        <v>156</v>
      </c>
      <c r="E343" s="188"/>
      <c r="F343" s="188"/>
      <c r="G343" s="188"/>
      <c r="H343" s="205" t="s">
        <v>1000</v>
      </c>
      <c r="I343" s="205" t="s">
        <v>1001</v>
      </c>
      <c r="J343" s="205" t="s">
        <v>1002</v>
      </c>
      <c r="K343" s="24" t="s">
        <v>1275</v>
      </c>
      <c r="L343" s="24" t="s">
        <v>103</v>
      </c>
      <c r="M343" s="62" t="s">
        <v>899</v>
      </c>
      <c r="N343" s="186">
        <v>0</v>
      </c>
      <c r="O343" s="186">
        <v>0</v>
      </c>
      <c r="P343" s="186">
        <v>197.365</v>
      </c>
      <c r="Q343" s="186">
        <v>0</v>
      </c>
      <c r="R343" s="186">
        <v>0</v>
      </c>
    </row>
    <row r="344" spans="1:18" s="155" customFormat="1" ht="60" customHeight="1">
      <c r="A344" s="194"/>
      <c r="B344" s="210"/>
      <c r="C344" s="11"/>
      <c r="D344" s="196"/>
      <c r="E344" s="189"/>
      <c r="F344" s="189"/>
      <c r="G344" s="189"/>
      <c r="H344" s="206"/>
      <c r="I344" s="206"/>
      <c r="J344" s="206"/>
      <c r="K344" s="25" t="s">
        <v>1276</v>
      </c>
      <c r="L344" s="25" t="s">
        <v>531</v>
      </c>
      <c r="M344" s="63" t="s">
        <v>1274</v>
      </c>
      <c r="N344" s="187"/>
      <c r="O344" s="187"/>
      <c r="P344" s="187"/>
      <c r="Q344" s="187"/>
      <c r="R344" s="187"/>
    </row>
    <row r="345" spans="1:18" s="155" customFormat="1" ht="102" customHeight="1">
      <c r="A345" s="34"/>
      <c r="B345" s="28" t="s">
        <v>1262</v>
      </c>
      <c r="C345" s="11"/>
      <c r="D345" s="43" t="s">
        <v>156</v>
      </c>
      <c r="E345" s="3"/>
      <c r="F345" s="3"/>
      <c r="G345" s="3"/>
      <c r="H345" s="110" t="s">
        <v>1000</v>
      </c>
      <c r="I345" s="110" t="s">
        <v>1001</v>
      </c>
      <c r="J345" s="110" t="s">
        <v>1002</v>
      </c>
      <c r="K345" s="26" t="s">
        <v>518</v>
      </c>
      <c r="L345" s="26"/>
      <c r="M345" s="61"/>
      <c r="N345" s="47">
        <v>0</v>
      </c>
      <c r="O345" s="47">
        <v>0</v>
      </c>
      <c r="P345" s="47">
        <v>205.297</v>
      </c>
      <c r="Q345" s="47">
        <v>0</v>
      </c>
      <c r="R345" s="47">
        <v>0</v>
      </c>
    </row>
    <row r="346" spans="1:18" s="153" customFormat="1" ht="24" customHeight="1">
      <c r="A346" s="34" t="s">
        <v>157</v>
      </c>
      <c r="B346" s="227" t="s">
        <v>1122</v>
      </c>
      <c r="C346" s="228"/>
      <c r="D346" s="228"/>
      <c r="E346" s="228"/>
      <c r="F346" s="228"/>
      <c r="G346" s="228"/>
      <c r="H346" s="228"/>
      <c r="I346" s="228"/>
      <c r="J346" s="228"/>
      <c r="K346" s="228"/>
      <c r="L346" s="228"/>
      <c r="M346" s="229"/>
      <c r="N346" s="46">
        <f>SUM(N347:N395)</f>
        <v>449601.19531</v>
      </c>
      <c r="O346" s="46">
        <f>SUM(O347:O395)</f>
        <v>446100.6537300001</v>
      </c>
      <c r="P346" s="46">
        <f>SUM(P347:P395)</f>
        <v>504121.782</v>
      </c>
      <c r="Q346" s="46">
        <f>SUM(Q347:Q395)</f>
        <v>452578.60000000003</v>
      </c>
      <c r="R346" s="46">
        <f>SUM(R347:R395)</f>
        <v>462940.00000000006</v>
      </c>
    </row>
    <row r="347" spans="1:18" s="154" customFormat="1" ht="99.75" customHeight="1">
      <c r="A347" s="37" t="s">
        <v>326</v>
      </c>
      <c r="B347" s="20" t="s">
        <v>291</v>
      </c>
      <c r="C347" s="11"/>
      <c r="D347" s="44" t="s">
        <v>177</v>
      </c>
      <c r="E347" s="17" t="s">
        <v>413</v>
      </c>
      <c r="F347" s="17" t="s">
        <v>1126</v>
      </c>
      <c r="G347" s="17" t="s">
        <v>851</v>
      </c>
      <c r="H347" s="17" t="s">
        <v>414</v>
      </c>
      <c r="I347" s="17" t="s">
        <v>1127</v>
      </c>
      <c r="J347" s="17" t="s">
        <v>409</v>
      </c>
      <c r="K347" s="19" t="s">
        <v>565</v>
      </c>
      <c r="L347" s="19" t="s">
        <v>222</v>
      </c>
      <c r="M347" s="19" t="s">
        <v>566</v>
      </c>
      <c r="N347" s="142">
        <v>886</v>
      </c>
      <c r="O347" s="142">
        <f>883279.44/1000</f>
        <v>883.2794399999999</v>
      </c>
      <c r="P347" s="142">
        <v>939</v>
      </c>
      <c r="Q347" s="143">
        <v>978</v>
      </c>
      <c r="R347" s="143">
        <v>978</v>
      </c>
    </row>
    <row r="348" spans="1:18" s="154" customFormat="1" ht="109.5" customHeight="1">
      <c r="A348" s="36" t="s">
        <v>327</v>
      </c>
      <c r="B348" s="21" t="s">
        <v>298</v>
      </c>
      <c r="C348" s="8"/>
      <c r="D348" s="41" t="s">
        <v>177</v>
      </c>
      <c r="E348" s="17" t="s">
        <v>410</v>
      </c>
      <c r="F348" s="17" t="s">
        <v>852</v>
      </c>
      <c r="G348" s="17" t="s">
        <v>412</v>
      </c>
      <c r="H348" s="17" t="s">
        <v>415</v>
      </c>
      <c r="I348" s="17" t="s">
        <v>188</v>
      </c>
      <c r="J348" s="17" t="s">
        <v>189</v>
      </c>
      <c r="K348" s="17" t="s">
        <v>567</v>
      </c>
      <c r="L348" s="74" t="s">
        <v>273</v>
      </c>
      <c r="M348" s="74" t="s">
        <v>299</v>
      </c>
      <c r="N348" s="49">
        <v>128</v>
      </c>
      <c r="O348" s="49">
        <v>128</v>
      </c>
      <c r="P348" s="49">
        <v>157</v>
      </c>
      <c r="Q348" s="52">
        <v>164</v>
      </c>
      <c r="R348" s="52">
        <v>164</v>
      </c>
    </row>
    <row r="349" spans="1:18" s="154" customFormat="1" ht="23.25" customHeight="1" hidden="1">
      <c r="A349" s="35" t="s">
        <v>328</v>
      </c>
      <c r="B349" s="7" t="s">
        <v>329</v>
      </c>
      <c r="C349" s="8"/>
      <c r="D349" s="40"/>
      <c r="E349" s="3"/>
      <c r="F349" s="3"/>
      <c r="G349" s="3"/>
      <c r="H349" s="3"/>
      <c r="I349" s="3"/>
      <c r="J349" s="3"/>
      <c r="K349" s="3"/>
      <c r="L349" s="6"/>
      <c r="M349" s="6"/>
      <c r="N349" s="49"/>
      <c r="O349" s="49"/>
      <c r="P349" s="49"/>
      <c r="Q349" s="52"/>
      <c r="R349" s="52"/>
    </row>
    <row r="350" spans="1:18" s="154" customFormat="1" ht="21.75" customHeight="1">
      <c r="A350" s="197" t="s">
        <v>330</v>
      </c>
      <c r="B350" s="231" t="s">
        <v>331</v>
      </c>
      <c r="C350" s="8"/>
      <c r="D350" s="199" t="s">
        <v>184</v>
      </c>
      <c r="E350" s="188" t="s">
        <v>416</v>
      </c>
      <c r="F350" s="188" t="s">
        <v>50</v>
      </c>
      <c r="G350" s="188" t="s">
        <v>417</v>
      </c>
      <c r="H350" s="188" t="s">
        <v>418</v>
      </c>
      <c r="I350" s="188" t="s">
        <v>419</v>
      </c>
      <c r="J350" s="188" t="s">
        <v>189</v>
      </c>
      <c r="K350" s="188" t="s">
        <v>1212</v>
      </c>
      <c r="L350" s="190" t="s">
        <v>301</v>
      </c>
      <c r="M350" s="190" t="s">
        <v>264</v>
      </c>
      <c r="N350" s="186">
        <f>(15810500+9972000+14289700)/1000</f>
        <v>40072.2</v>
      </c>
      <c r="O350" s="186">
        <f>(15033239.18+14258001.68+9837080.57)/1000</f>
        <v>39128.321429999996</v>
      </c>
      <c r="P350" s="186">
        <f>30340.8+17538</f>
        <v>47878.8</v>
      </c>
      <c r="Q350" s="233">
        <v>56028.2</v>
      </c>
      <c r="R350" s="233">
        <v>61891</v>
      </c>
    </row>
    <row r="351" spans="1:18" s="154" customFormat="1" ht="21.75" customHeight="1">
      <c r="A351" s="198"/>
      <c r="B351" s="232"/>
      <c r="C351" s="8"/>
      <c r="D351" s="200"/>
      <c r="E351" s="202"/>
      <c r="F351" s="202"/>
      <c r="G351" s="202"/>
      <c r="H351" s="202"/>
      <c r="I351" s="202"/>
      <c r="J351" s="202"/>
      <c r="K351" s="202"/>
      <c r="L351" s="191"/>
      <c r="M351" s="191"/>
      <c r="N351" s="235"/>
      <c r="O351" s="235"/>
      <c r="P351" s="235"/>
      <c r="Q351" s="234"/>
      <c r="R351" s="234"/>
    </row>
    <row r="352" spans="1:18" s="154" customFormat="1" ht="21.75" customHeight="1">
      <c r="A352" s="198"/>
      <c r="B352" s="232"/>
      <c r="C352" s="8"/>
      <c r="D352" s="200"/>
      <c r="E352" s="202"/>
      <c r="F352" s="202"/>
      <c r="G352" s="202"/>
      <c r="H352" s="202"/>
      <c r="I352" s="202"/>
      <c r="J352" s="202"/>
      <c r="K352" s="202"/>
      <c r="L352" s="191"/>
      <c r="M352" s="191"/>
      <c r="N352" s="235"/>
      <c r="O352" s="235"/>
      <c r="P352" s="235"/>
      <c r="Q352" s="234"/>
      <c r="R352" s="234"/>
    </row>
    <row r="353" spans="1:18" s="154" customFormat="1" ht="21.75" customHeight="1">
      <c r="A353" s="198"/>
      <c r="B353" s="232"/>
      <c r="C353" s="8"/>
      <c r="D353" s="200"/>
      <c r="E353" s="202"/>
      <c r="F353" s="202"/>
      <c r="G353" s="202"/>
      <c r="H353" s="202"/>
      <c r="I353" s="202"/>
      <c r="J353" s="202"/>
      <c r="K353" s="202"/>
      <c r="L353" s="191"/>
      <c r="M353" s="191"/>
      <c r="N353" s="235"/>
      <c r="O353" s="235"/>
      <c r="P353" s="235"/>
      <c r="Q353" s="234"/>
      <c r="R353" s="234"/>
    </row>
    <row r="354" spans="1:18" s="154" customFormat="1" ht="21.75" customHeight="1">
      <c r="A354" s="198"/>
      <c r="B354" s="232"/>
      <c r="C354" s="8"/>
      <c r="D354" s="200"/>
      <c r="E354" s="202"/>
      <c r="F354" s="202"/>
      <c r="G354" s="202"/>
      <c r="H354" s="202"/>
      <c r="I354" s="202"/>
      <c r="J354" s="202"/>
      <c r="K354" s="202"/>
      <c r="L354" s="191"/>
      <c r="M354" s="191"/>
      <c r="N354" s="235"/>
      <c r="O354" s="235"/>
      <c r="P354" s="235"/>
      <c r="Q354" s="234"/>
      <c r="R354" s="234"/>
    </row>
    <row r="355" spans="1:18" s="154" customFormat="1" ht="21.75" customHeight="1">
      <c r="A355" s="230"/>
      <c r="B355" s="246"/>
      <c r="C355" s="8"/>
      <c r="D355" s="239"/>
      <c r="E355" s="202"/>
      <c r="F355" s="202"/>
      <c r="G355" s="202"/>
      <c r="H355" s="202"/>
      <c r="I355" s="202"/>
      <c r="J355" s="202"/>
      <c r="K355" s="202"/>
      <c r="L355" s="191"/>
      <c r="M355" s="191"/>
      <c r="N355" s="187"/>
      <c r="O355" s="187"/>
      <c r="P355" s="187"/>
      <c r="Q355" s="247"/>
      <c r="R355" s="247"/>
    </row>
    <row r="356" spans="1:18" s="153" customFormat="1" ht="48.75" customHeight="1">
      <c r="A356" s="138"/>
      <c r="B356" s="139" t="s">
        <v>1182</v>
      </c>
      <c r="C356" s="8"/>
      <c r="D356" s="169" t="s">
        <v>184</v>
      </c>
      <c r="E356" s="189"/>
      <c r="F356" s="189"/>
      <c r="G356" s="189"/>
      <c r="H356" s="189"/>
      <c r="I356" s="189"/>
      <c r="J356" s="189"/>
      <c r="K356" s="189"/>
      <c r="L356" s="192"/>
      <c r="M356" s="192"/>
      <c r="N356" s="140">
        <v>0</v>
      </c>
      <c r="O356" s="47">
        <v>0</v>
      </c>
      <c r="P356" s="140">
        <v>882.8</v>
      </c>
      <c r="Q356" s="141">
        <v>0</v>
      </c>
      <c r="R356" s="141">
        <v>0</v>
      </c>
    </row>
    <row r="357" spans="1:18" s="154" customFormat="1" ht="86.25" customHeight="1">
      <c r="A357" s="36" t="s">
        <v>332</v>
      </c>
      <c r="B357" s="21" t="s">
        <v>280</v>
      </c>
      <c r="C357" s="8"/>
      <c r="D357" s="41" t="s">
        <v>894</v>
      </c>
      <c r="E357" s="17" t="s">
        <v>28</v>
      </c>
      <c r="F357" s="17" t="s">
        <v>853</v>
      </c>
      <c r="G357" s="17" t="s">
        <v>780</v>
      </c>
      <c r="H357" s="17" t="s">
        <v>420</v>
      </c>
      <c r="I357" s="17" t="s">
        <v>85</v>
      </c>
      <c r="J357" s="17" t="s">
        <v>189</v>
      </c>
      <c r="K357" s="17" t="s">
        <v>569</v>
      </c>
      <c r="L357" s="74" t="s">
        <v>173</v>
      </c>
      <c r="M357" s="74" t="s">
        <v>295</v>
      </c>
      <c r="N357" s="49">
        <v>25133</v>
      </c>
      <c r="O357" s="49">
        <v>25133</v>
      </c>
      <c r="P357" s="49">
        <v>29849</v>
      </c>
      <c r="Q357" s="52">
        <v>32884</v>
      </c>
      <c r="R357" s="52">
        <v>35939</v>
      </c>
    </row>
    <row r="358" spans="1:18" s="154" customFormat="1" ht="50.25" customHeight="1">
      <c r="A358" s="215" t="s">
        <v>1061</v>
      </c>
      <c r="B358" s="28" t="s">
        <v>360</v>
      </c>
      <c r="C358" s="110"/>
      <c r="D358" s="115" t="s">
        <v>136</v>
      </c>
      <c r="E358" s="217" t="s">
        <v>448</v>
      </c>
      <c r="F358" s="217" t="s">
        <v>854</v>
      </c>
      <c r="G358" s="188" t="s">
        <v>70</v>
      </c>
      <c r="H358" s="188" t="s">
        <v>421</v>
      </c>
      <c r="I358" s="188" t="s">
        <v>248</v>
      </c>
      <c r="J358" s="188" t="s">
        <v>37</v>
      </c>
      <c r="K358" s="188" t="s">
        <v>1128</v>
      </c>
      <c r="L358" s="17" t="s">
        <v>222</v>
      </c>
      <c r="M358" s="188" t="s">
        <v>263</v>
      </c>
      <c r="N358" s="49">
        <f>0.145+11.293</f>
        <v>11.437999999999999</v>
      </c>
      <c r="O358" s="49">
        <f>(11293+145)/1000</f>
        <v>11.438</v>
      </c>
      <c r="P358" s="49">
        <v>336</v>
      </c>
      <c r="Q358" s="52">
        <v>102.9</v>
      </c>
      <c r="R358" s="52">
        <v>102.9</v>
      </c>
    </row>
    <row r="359" spans="1:18" s="154" customFormat="1" ht="48.75" customHeight="1">
      <c r="A359" s="216"/>
      <c r="B359" s="7" t="s">
        <v>361</v>
      </c>
      <c r="C359" s="11"/>
      <c r="D359" s="40" t="s">
        <v>136</v>
      </c>
      <c r="E359" s="202"/>
      <c r="F359" s="202"/>
      <c r="G359" s="202"/>
      <c r="H359" s="202"/>
      <c r="I359" s="202"/>
      <c r="J359" s="202"/>
      <c r="K359" s="202"/>
      <c r="L359" s="3" t="s">
        <v>222</v>
      </c>
      <c r="M359" s="202"/>
      <c r="N359" s="47">
        <v>55</v>
      </c>
      <c r="O359" s="47">
        <v>55</v>
      </c>
      <c r="P359" s="47">
        <v>35.8</v>
      </c>
      <c r="Q359" s="48">
        <v>41.3</v>
      </c>
      <c r="R359" s="48">
        <v>41.3</v>
      </c>
    </row>
    <row r="360" spans="1:18" s="154" customFormat="1" ht="37.5" customHeight="1">
      <c r="A360" s="216"/>
      <c r="B360" s="7" t="s">
        <v>362</v>
      </c>
      <c r="C360" s="11"/>
      <c r="D360" s="40" t="s">
        <v>136</v>
      </c>
      <c r="E360" s="202"/>
      <c r="F360" s="202"/>
      <c r="G360" s="202"/>
      <c r="H360" s="202"/>
      <c r="I360" s="202"/>
      <c r="J360" s="202"/>
      <c r="K360" s="202"/>
      <c r="L360" s="3" t="s">
        <v>222</v>
      </c>
      <c r="M360" s="202"/>
      <c r="N360" s="47">
        <v>158</v>
      </c>
      <c r="O360" s="47">
        <v>158</v>
      </c>
      <c r="P360" s="47">
        <v>0</v>
      </c>
      <c r="Q360" s="48">
        <v>62.4</v>
      </c>
      <c r="R360" s="48">
        <v>62.4</v>
      </c>
    </row>
    <row r="361" spans="1:18" s="154" customFormat="1" ht="36.75" customHeight="1">
      <c r="A361" s="216"/>
      <c r="B361" s="7" t="s">
        <v>363</v>
      </c>
      <c r="C361" s="11"/>
      <c r="D361" s="40" t="s">
        <v>136</v>
      </c>
      <c r="E361" s="202"/>
      <c r="F361" s="202"/>
      <c r="G361" s="202"/>
      <c r="H361" s="202"/>
      <c r="I361" s="202"/>
      <c r="J361" s="202"/>
      <c r="K361" s="202"/>
      <c r="L361" s="3" t="s">
        <v>222</v>
      </c>
      <c r="M361" s="202"/>
      <c r="N361" s="47">
        <v>703</v>
      </c>
      <c r="O361" s="47">
        <v>703</v>
      </c>
      <c r="P361" s="47">
        <v>744</v>
      </c>
      <c r="Q361" s="48">
        <v>775</v>
      </c>
      <c r="R361" s="48">
        <v>775</v>
      </c>
    </row>
    <row r="362" spans="1:18" s="154" customFormat="1" ht="135.75" customHeight="1">
      <c r="A362" s="216"/>
      <c r="B362" s="7" t="s">
        <v>457</v>
      </c>
      <c r="C362" s="11"/>
      <c r="D362" s="40" t="s">
        <v>136</v>
      </c>
      <c r="E362" s="202"/>
      <c r="F362" s="202"/>
      <c r="G362" s="202"/>
      <c r="H362" s="202"/>
      <c r="I362" s="202"/>
      <c r="J362" s="202"/>
      <c r="K362" s="202"/>
      <c r="L362" s="3" t="s">
        <v>222</v>
      </c>
      <c r="M362" s="202"/>
      <c r="N362" s="49">
        <v>492</v>
      </c>
      <c r="O362" s="49">
        <v>492</v>
      </c>
      <c r="P362" s="49">
        <v>320</v>
      </c>
      <c r="Q362" s="52">
        <v>0</v>
      </c>
      <c r="R362" s="52">
        <v>0</v>
      </c>
    </row>
    <row r="363" spans="1:18" s="154" customFormat="1" ht="63.75" customHeight="1">
      <c r="A363" s="216"/>
      <c r="B363" s="28" t="s">
        <v>639</v>
      </c>
      <c r="C363" s="11"/>
      <c r="D363" s="40" t="s">
        <v>136</v>
      </c>
      <c r="E363" s="202"/>
      <c r="F363" s="202"/>
      <c r="G363" s="202"/>
      <c r="H363" s="202"/>
      <c r="I363" s="202"/>
      <c r="J363" s="202"/>
      <c r="K363" s="202"/>
      <c r="L363" s="3" t="s">
        <v>222</v>
      </c>
      <c r="M363" s="202"/>
      <c r="N363" s="49">
        <v>988.232</v>
      </c>
      <c r="O363" s="49">
        <f>988232/1000</f>
        <v>988.232</v>
      </c>
      <c r="P363" s="49">
        <f>1100+305.5</f>
        <v>1405.5</v>
      </c>
      <c r="Q363" s="52">
        <v>1405.5</v>
      </c>
      <c r="R363" s="52">
        <v>1405.5</v>
      </c>
    </row>
    <row r="364" spans="1:18" s="154" customFormat="1" ht="134.25" customHeight="1">
      <c r="A364" s="216"/>
      <c r="B364" s="7" t="s">
        <v>364</v>
      </c>
      <c r="C364" s="8"/>
      <c r="D364" s="40" t="s">
        <v>136</v>
      </c>
      <c r="E364" s="202"/>
      <c r="F364" s="202"/>
      <c r="G364" s="202"/>
      <c r="H364" s="202"/>
      <c r="I364" s="202"/>
      <c r="J364" s="202"/>
      <c r="K364" s="202"/>
      <c r="L364" s="3" t="s">
        <v>222</v>
      </c>
      <c r="M364" s="202"/>
      <c r="N364" s="49">
        <v>25.895</v>
      </c>
      <c r="O364" s="49">
        <f>25895/1000</f>
        <v>25.895</v>
      </c>
      <c r="P364" s="49">
        <v>88.9</v>
      </c>
      <c r="Q364" s="52">
        <v>88.9</v>
      </c>
      <c r="R364" s="52">
        <v>88.9</v>
      </c>
    </row>
    <row r="365" spans="1:18" s="154" customFormat="1" ht="23.25" customHeight="1" hidden="1">
      <c r="A365" s="38" t="s">
        <v>334</v>
      </c>
      <c r="B365" s="7" t="s">
        <v>333</v>
      </c>
      <c r="C365" s="11"/>
      <c r="D365" s="40"/>
      <c r="E365" s="3"/>
      <c r="F365" s="3"/>
      <c r="G365" s="3"/>
      <c r="H365" s="3"/>
      <c r="I365" s="3"/>
      <c r="J365" s="3"/>
      <c r="K365" s="3"/>
      <c r="L365" s="3"/>
      <c r="M365" s="19"/>
      <c r="N365" s="49"/>
      <c r="O365" s="49"/>
      <c r="P365" s="49"/>
      <c r="Q365" s="52"/>
      <c r="R365" s="52"/>
    </row>
    <row r="366" spans="1:18" s="154" customFormat="1" ht="28.5" customHeight="1">
      <c r="A366" s="267" t="s">
        <v>335</v>
      </c>
      <c r="B366" s="268" t="s">
        <v>294</v>
      </c>
      <c r="C366" s="201"/>
      <c r="D366" s="199" t="s">
        <v>4</v>
      </c>
      <c r="E366" s="269" t="s">
        <v>244</v>
      </c>
      <c r="F366" s="269" t="s">
        <v>50</v>
      </c>
      <c r="G366" s="269" t="s">
        <v>835</v>
      </c>
      <c r="H366" s="188" t="s">
        <v>422</v>
      </c>
      <c r="I366" s="188" t="s">
        <v>71</v>
      </c>
      <c r="J366" s="188" t="s">
        <v>49</v>
      </c>
      <c r="K366" s="188" t="s">
        <v>570</v>
      </c>
      <c r="L366" s="188" t="s">
        <v>7</v>
      </c>
      <c r="M366" s="190" t="s">
        <v>571</v>
      </c>
      <c r="N366" s="49">
        <f>27+3654</f>
        <v>3681</v>
      </c>
      <c r="O366" s="49">
        <f>(23883.27+3221663.34)/1000</f>
        <v>3245.54661</v>
      </c>
      <c r="P366" s="186">
        <f>3410+14708</f>
        <v>18118</v>
      </c>
      <c r="Q366" s="186">
        <v>18118</v>
      </c>
      <c r="R366" s="186">
        <v>18118</v>
      </c>
    </row>
    <row r="367" spans="1:18" s="154" customFormat="1" ht="28.5" customHeight="1">
      <c r="A367" s="267"/>
      <c r="B367" s="268"/>
      <c r="C367" s="201"/>
      <c r="D367" s="200"/>
      <c r="E367" s="269"/>
      <c r="F367" s="269"/>
      <c r="G367" s="269"/>
      <c r="H367" s="202"/>
      <c r="I367" s="202"/>
      <c r="J367" s="202"/>
      <c r="K367" s="202"/>
      <c r="L367" s="202"/>
      <c r="M367" s="191"/>
      <c r="N367" s="50">
        <f>1086.96739+10766.03261</f>
        <v>11853</v>
      </c>
      <c r="O367" s="50">
        <f>(1022379.58+9948019.35)/1000</f>
        <v>10970.39893</v>
      </c>
      <c r="P367" s="235"/>
      <c r="Q367" s="235"/>
      <c r="R367" s="235"/>
    </row>
    <row r="368" spans="1:18" s="154" customFormat="1" ht="28.5" customHeight="1">
      <c r="A368" s="267"/>
      <c r="B368" s="268"/>
      <c r="C368" s="201"/>
      <c r="D368" s="239"/>
      <c r="E368" s="269"/>
      <c r="F368" s="269"/>
      <c r="G368" s="269"/>
      <c r="H368" s="189"/>
      <c r="I368" s="189"/>
      <c r="J368" s="189"/>
      <c r="K368" s="189"/>
      <c r="L368" s="189"/>
      <c r="M368" s="192"/>
      <c r="N368" s="50">
        <v>2368</v>
      </c>
      <c r="O368" s="50">
        <f>2099614.42/1000</f>
        <v>2099.61442</v>
      </c>
      <c r="P368" s="187"/>
      <c r="Q368" s="187"/>
      <c r="R368" s="187"/>
    </row>
    <row r="369" spans="1:18" s="154" customFormat="1" ht="225.75" customHeight="1">
      <c r="A369" s="35" t="s">
        <v>336</v>
      </c>
      <c r="B369" s="7" t="s">
        <v>307</v>
      </c>
      <c r="C369" s="8"/>
      <c r="D369" s="40" t="s">
        <v>12</v>
      </c>
      <c r="E369" s="3" t="s">
        <v>423</v>
      </c>
      <c r="F369" s="3" t="s">
        <v>62</v>
      </c>
      <c r="G369" s="3" t="s">
        <v>424</v>
      </c>
      <c r="H369" s="3" t="s">
        <v>425</v>
      </c>
      <c r="I369" s="3" t="s">
        <v>494</v>
      </c>
      <c r="J369" s="3" t="s">
        <v>855</v>
      </c>
      <c r="K369" s="3" t="s">
        <v>219</v>
      </c>
      <c r="L369" s="3" t="s">
        <v>7</v>
      </c>
      <c r="M369" s="6" t="s">
        <v>220</v>
      </c>
      <c r="N369" s="47">
        <v>7031</v>
      </c>
      <c r="O369" s="47">
        <f>6982865.64/1000</f>
        <v>6982.86564</v>
      </c>
      <c r="P369" s="47">
        <v>7131.032</v>
      </c>
      <c r="Q369" s="47">
        <v>0</v>
      </c>
      <c r="R369" s="47">
        <v>0</v>
      </c>
    </row>
    <row r="370" spans="1:18" s="154" customFormat="1" ht="98.25" customHeight="1">
      <c r="A370" s="35" t="s">
        <v>337</v>
      </c>
      <c r="B370" s="7" t="s">
        <v>306</v>
      </c>
      <c r="C370" s="8"/>
      <c r="D370" s="40" t="s">
        <v>12</v>
      </c>
      <c r="E370" s="3" t="s">
        <v>58</v>
      </c>
      <c r="F370" s="3" t="s">
        <v>60</v>
      </c>
      <c r="G370" s="3" t="s">
        <v>59</v>
      </c>
      <c r="H370" s="3" t="s">
        <v>425</v>
      </c>
      <c r="I370" s="3" t="s">
        <v>494</v>
      </c>
      <c r="J370" s="3" t="s">
        <v>855</v>
      </c>
      <c r="K370" s="3" t="s">
        <v>219</v>
      </c>
      <c r="L370" s="3" t="s">
        <v>273</v>
      </c>
      <c r="M370" s="6" t="s">
        <v>220</v>
      </c>
      <c r="N370" s="47">
        <v>178</v>
      </c>
      <c r="O370" s="47">
        <f>156477.81/1000</f>
        <v>156.47781</v>
      </c>
      <c r="P370" s="47">
        <v>171</v>
      </c>
      <c r="Q370" s="48">
        <v>159</v>
      </c>
      <c r="R370" s="48">
        <v>159</v>
      </c>
    </row>
    <row r="371" spans="1:18" s="154" customFormat="1" ht="158.25" customHeight="1">
      <c r="A371" s="35" t="s">
        <v>338</v>
      </c>
      <c r="B371" s="7" t="s">
        <v>305</v>
      </c>
      <c r="C371" s="8"/>
      <c r="D371" s="40" t="s">
        <v>12</v>
      </c>
      <c r="E371" s="3" t="s">
        <v>244</v>
      </c>
      <c r="F371" s="3" t="s">
        <v>856</v>
      </c>
      <c r="G371" s="3" t="s">
        <v>835</v>
      </c>
      <c r="H371" s="3" t="s">
        <v>426</v>
      </c>
      <c r="I371" s="3" t="s">
        <v>129</v>
      </c>
      <c r="J371" s="3" t="s">
        <v>113</v>
      </c>
      <c r="K371" s="3" t="s">
        <v>1091</v>
      </c>
      <c r="L371" s="3" t="s">
        <v>77</v>
      </c>
      <c r="M371" s="6" t="s">
        <v>265</v>
      </c>
      <c r="N371" s="47">
        <f>(239982200+26355800)/1000</f>
        <v>266338</v>
      </c>
      <c r="O371" s="47">
        <f>(239982200+26355800)/1000</f>
        <v>266338</v>
      </c>
      <c r="P371" s="47">
        <f>301113.44+32919.56</f>
        <v>334033</v>
      </c>
      <c r="Q371" s="48">
        <v>279077</v>
      </c>
      <c r="R371" s="48">
        <v>279802</v>
      </c>
    </row>
    <row r="372" spans="1:18" s="154" customFormat="1" ht="134.25" customHeight="1">
      <c r="A372" s="36" t="s">
        <v>339</v>
      </c>
      <c r="B372" s="21" t="s">
        <v>292</v>
      </c>
      <c r="C372" s="11"/>
      <c r="D372" s="41" t="s">
        <v>177</v>
      </c>
      <c r="E372" s="17" t="s">
        <v>427</v>
      </c>
      <c r="F372" s="17" t="s">
        <v>494</v>
      </c>
      <c r="G372" s="74" t="s">
        <v>428</v>
      </c>
      <c r="H372" s="17" t="s">
        <v>429</v>
      </c>
      <c r="I372" s="17" t="s">
        <v>402</v>
      </c>
      <c r="J372" s="17" t="s">
        <v>26</v>
      </c>
      <c r="K372" s="17" t="s">
        <v>572</v>
      </c>
      <c r="L372" s="24" t="s">
        <v>85</v>
      </c>
      <c r="M372" s="24" t="s">
        <v>370</v>
      </c>
      <c r="N372" s="49">
        <v>46</v>
      </c>
      <c r="O372" s="49">
        <v>46</v>
      </c>
      <c r="P372" s="49">
        <v>49</v>
      </c>
      <c r="Q372" s="52">
        <v>51</v>
      </c>
      <c r="R372" s="52">
        <v>51</v>
      </c>
    </row>
    <row r="373" spans="1:18" s="154" customFormat="1" ht="183" customHeight="1">
      <c r="A373" s="36" t="s">
        <v>340</v>
      </c>
      <c r="B373" s="114" t="s">
        <v>296</v>
      </c>
      <c r="C373" s="11"/>
      <c r="D373" s="41" t="s">
        <v>177</v>
      </c>
      <c r="E373" s="17" t="s">
        <v>68</v>
      </c>
      <c r="F373" s="17" t="s">
        <v>69</v>
      </c>
      <c r="G373" s="17" t="s">
        <v>70</v>
      </c>
      <c r="H373" s="17" t="s">
        <v>430</v>
      </c>
      <c r="I373" s="17" t="s">
        <v>66</v>
      </c>
      <c r="J373" s="74" t="s">
        <v>67</v>
      </c>
      <c r="K373" s="17" t="s">
        <v>574</v>
      </c>
      <c r="L373" s="74" t="s">
        <v>191</v>
      </c>
      <c r="M373" s="74" t="s">
        <v>575</v>
      </c>
      <c r="N373" s="49">
        <v>20</v>
      </c>
      <c r="O373" s="49">
        <v>20</v>
      </c>
      <c r="P373" s="49">
        <v>21</v>
      </c>
      <c r="Q373" s="52">
        <v>22</v>
      </c>
      <c r="R373" s="52">
        <v>22</v>
      </c>
    </row>
    <row r="374" spans="1:18" s="154" customFormat="1" ht="23.25" customHeight="1" hidden="1">
      <c r="A374" s="35" t="s">
        <v>341</v>
      </c>
      <c r="B374" s="7" t="s">
        <v>342</v>
      </c>
      <c r="C374" s="8"/>
      <c r="D374" s="40"/>
      <c r="E374" s="3"/>
      <c r="F374" s="3"/>
      <c r="G374" s="3"/>
      <c r="H374" s="3"/>
      <c r="I374" s="3"/>
      <c r="J374" s="6"/>
      <c r="K374" s="3"/>
      <c r="L374" s="6"/>
      <c r="M374" s="6"/>
      <c r="N374" s="49"/>
      <c r="O374" s="49"/>
      <c r="P374" s="49"/>
      <c r="Q374" s="52"/>
      <c r="R374" s="52"/>
    </row>
    <row r="375" spans="1:18" s="154" customFormat="1" ht="144" customHeight="1">
      <c r="A375" s="36" t="s">
        <v>343</v>
      </c>
      <c r="B375" s="21" t="s">
        <v>169</v>
      </c>
      <c r="C375" s="8"/>
      <c r="D375" s="41" t="s">
        <v>116</v>
      </c>
      <c r="E375" s="17" t="s">
        <v>431</v>
      </c>
      <c r="F375" s="17" t="s">
        <v>857</v>
      </c>
      <c r="G375" s="74" t="s">
        <v>858</v>
      </c>
      <c r="H375" s="17" t="s">
        <v>859</v>
      </c>
      <c r="I375" s="17" t="s">
        <v>402</v>
      </c>
      <c r="J375" s="17" t="s">
        <v>113</v>
      </c>
      <c r="K375" s="17" t="s">
        <v>573</v>
      </c>
      <c r="L375" s="17" t="s">
        <v>222</v>
      </c>
      <c r="M375" s="17" t="s">
        <v>308</v>
      </c>
      <c r="N375" s="49">
        <v>42</v>
      </c>
      <c r="O375" s="49">
        <f>36277.5/1000</f>
        <v>36.2775</v>
      </c>
      <c r="P375" s="49">
        <v>0</v>
      </c>
      <c r="Q375" s="49">
        <v>0</v>
      </c>
      <c r="R375" s="49">
        <v>0</v>
      </c>
    </row>
    <row r="376" spans="1:18" s="154" customFormat="1" ht="23.25" customHeight="1" hidden="1">
      <c r="A376" s="35" t="s">
        <v>344</v>
      </c>
      <c r="B376" s="7" t="s">
        <v>345</v>
      </c>
      <c r="C376" s="8"/>
      <c r="D376" s="40"/>
      <c r="E376" s="3"/>
      <c r="F376" s="3"/>
      <c r="G376" s="6"/>
      <c r="H376" s="3"/>
      <c r="I376" s="3"/>
      <c r="J376" s="3"/>
      <c r="K376" s="3"/>
      <c r="L376" s="3"/>
      <c r="M376" s="3"/>
      <c r="N376" s="49"/>
      <c r="O376" s="49"/>
      <c r="P376" s="49"/>
      <c r="Q376" s="49"/>
      <c r="R376" s="49"/>
    </row>
    <row r="377" spans="1:18" s="154" customFormat="1" ht="23.25" customHeight="1" hidden="1">
      <c r="A377" s="35" t="s">
        <v>346</v>
      </c>
      <c r="B377" s="7" t="s">
        <v>347</v>
      </c>
      <c r="C377" s="8"/>
      <c r="D377" s="40"/>
      <c r="E377" s="3"/>
      <c r="F377" s="3"/>
      <c r="G377" s="6"/>
      <c r="H377" s="3"/>
      <c r="I377" s="3"/>
      <c r="J377" s="3"/>
      <c r="K377" s="3"/>
      <c r="L377" s="3"/>
      <c r="M377" s="3"/>
      <c r="N377" s="49"/>
      <c r="O377" s="49"/>
      <c r="P377" s="49"/>
      <c r="Q377" s="49"/>
      <c r="R377" s="49"/>
    </row>
    <row r="378" spans="1:18" s="154" customFormat="1" ht="23.25" customHeight="1" hidden="1">
      <c r="A378" s="35" t="s">
        <v>348</v>
      </c>
      <c r="B378" s="7" t="s">
        <v>349</v>
      </c>
      <c r="C378" s="8"/>
      <c r="D378" s="40"/>
      <c r="E378" s="3"/>
      <c r="F378" s="3"/>
      <c r="G378" s="6"/>
      <c r="H378" s="3"/>
      <c r="I378" s="3"/>
      <c r="J378" s="3"/>
      <c r="K378" s="3"/>
      <c r="L378" s="3"/>
      <c r="M378" s="3"/>
      <c r="N378" s="49"/>
      <c r="O378" s="49"/>
      <c r="P378" s="49"/>
      <c r="Q378" s="49"/>
      <c r="R378" s="49"/>
    </row>
    <row r="379" spans="1:18" s="154" customFormat="1" ht="23.25" customHeight="1" hidden="1">
      <c r="A379" s="35" t="s">
        <v>350</v>
      </c>
      <c r="B379" s="7" t="s">
        <v>351</v>
      </c>
      <c r="C379" s="8"/>
      <c r="D379" s="40"/>
      <c r="E379" s="3"/>
      <c r="F379" s="3"/>
      <c r="G379" s="6"/>
      <c r="H379" s="3"/>
      <c r="I379" s="3"/>
      <c r="J379" s="3"/>
      <c r="K379" s="3"/>
      <c r="L379" s="3"/>
      <c r="M379" s="3"/>
      <c r="N379" s="49"/>
      <c r="O379" s="49"/>
      <c r="P379" s="49"/>
      <c r="Q379" s="49"/>
      <c r="R379" s="49"/>
    </row>
    <row r="380" spans="1:18" s="154" customFormat="1" ht="23.25" customHeight="1" hidden="1">
      <c r="A380" s="35" t="s">
        <v>352</v>
      </c>
      <c r="B380" s="7" t="s">
        <v>353</v>
      </c>
      <c r="C380" s="8"/>
      <c r="D380" s="40"/>
      <c r="E380" s="3"/>
      <c r="F380" s="3"/>
      <c r="G380" s="6"/>
      <c r="H380" s="3"/>
      <c r="I380" s="3"/>
      <c r="J380" s="3"/>
      <c r="K380" s="3"/>
      <c r="L380" s="3"/>
      <c r="M380" s="3"/>
      <c r="N380" s="49"/>
      <c r="O380" s="49"/>
      <c r="P380" s="49"/>
      <c r="Q380" s="49"/>
      <c r="R380" s="49"/>
    </row>
    <row r="381" spans="1:18" s="154" customFormat="1" ht="96.75" customHeight="1">
      <c r="A381" s="36" t="s">
        <v>354</v>
      </c>
      <c r="B381" s="21" t="s">
        <v>300</v>
      </c>
      <c r="C381" s="11"/>
      <c r="D381" s="41" t="s">
        <v>177</v>
      </c>
      <c r="E381" s="17" t="s">
        <v>181</v>
      </c>
      <c r="F381" s="17" t="s">
        <v>182</v>
      </c>
      <c r="G381" s="17" t="s">
        <v>183</v>
      </c>
      <c r="H381" s="17" t="s">
        <v>152</v>
      </c>
      <c r="I381" s="17" t="s">
        <v>402</v>
      </c>
      <c r="J381" s="17" t="s">
        <v>153</v>
      </c>
      <c r="K381" s="17" t="s">
        <v>640</v>
      </c>
      <c r="L381" s="17" t="s">
        <v>222</v>
      </c>
      <c r="M381" s="17" t="s">
        <v>175</v>
      </c>
      <c r="N381" s="49">
        <f>3547.4</f>
        <v>3547.4</v>
      </c>
      <c r="O381" s="49">
        <f>3526585.34/1000</f>
        <v>3526.5853399999996</v>
      </c>
      <c r="P381" s="49">
        <f>6254+121</f>
        <v>6375</v>
      </c>
      <c r="Q381" s="52">
        <v>6636.4</v>
      </c>
      <c r="R381" s="52">
        <v>6636.4</v>
      </c>
    </row>
    <row r="382" spans="1:18" s="154" customFormat="1" ht="106.5" customHeight="1">
      <c r="A382" s="138" t="s">
        <v>355</v>
      </c>
      <c r="B382" s="139" t="s">
        <v>234</v>
      </c>
      <c r="C382" s="11"/>
      <c r="D382" s="40" t="s">
        <v>184</v>
      </c>
      <c r="E382" s="3" t="s">
        <v>181</v>
      </c>
      <c r="F382" s="3" t="s">
        <v>182</v>
      </c>
      <c r="G382" s="3" t="s">
        <v>860</v>
      </c>
      <c r="H382" s="3" t="s">
        <v>432</v>
      </c>
      <c r="I382" s="3" t="s">
        <v>180</v>
      </c>
      <c r="J382" s="3" t="s">
        <v>179</v>
      </c>
      <c r="K382" s="3" t="s">
        <v>576</v>
      </c>
      <c r="L382" s="3" t="s">
        <v>222</v>
      </c>
      <c r="M382" s="3" t="s">
        <v>197</v>
      </c>
      <c r="N382" s="140">
        <v>20</v>
      </c>
      <c r="O382" s="140">
        <v>20</v>
      </c>
      <c r="P382" s="140">
        <f>21.3+374.35</f>
        <v>395.65000000000003</v>
      </c>
      <c r="Q382" s="141">
        <v>21.3</v>
      </c>
      <c r="R382" s="141">
        <v>21.3</v>
      </c>
    </row>
    <row r="383" spans="1:18" s="154" customFormat="1" ht="109.5" customHeight="1">
      <c r="A383" s="84" t="s">
        <v>1062</v>
      </c>
      <c r="B383" s="136" t="s">
        <v>1063</v>
      </c>
      <c r="C383" s="137"/>
      <c r="D383" s="44" t="s">
        <v>184</v>
      </c>
      <c r="E383" s="18" t="s">
        <v>181</v>
      </c>
      <c r="F383" s="18" t="s">
        <v>182</v>
      </c>
      <c r="G383" s="18" t="s">
        <v>860</v>
      </c>
      <c r="H383" s="18" t="s">
        <v>432</v>
      </c>
      <c r="I383" s="18" t="s">
        <v>180</v>
      </c>
      <c r="J383" s="18" t="s">
        <v>179</v>
      </c>
      <c r="K383" s="18" t="s">
        <v>576</v>
      </c>
      <c r="L383" s="18" t="s">
        <v>222</v>
      </c>
      <c r="M383" s="18" t="s">
        <v>197</v>
      </c>
      <c r="N383" s="93">
        <v>180.43731</v>
      </c>
      <c r="O383" s="93">
        <f>93210.09/1000</f>
        <v>93.21009</v>
      </c>
      <c r="P383" s="93">
        <v>425.5</v>
      </c>
      <c r="Q383" s="131">
        <v>425.5</v>
      </c>
      <c r="R383" s="131">
        <v>425.5</v>
      </c>
    </row>
    <row r="384" spans="1:18" s="154" customFormat="1" ht="60.75" customHeight="1">
      <c r="A384" s="296" t="s">
        <v>1064</v>
      </c>
      <c r="B384" s="231" t="s">
        <v>1066</v>
      </c>
      <c r="C384" s="8"/>
      <c r="D384" s="41" t="s">
        <v>101</v>
      </c>
      <c r="E384" s="188" t="s">
        <v>577</v>
      </c>
      <c r="F384" s="188" t="s">
        <v>578</v>
      </c>
      <c r="G384" s="188" t="s">
        <v>579</v>
      </c>
      <c r="H384" s="188" t="s">
        <v>580</v>
      </c>
      <c r="I384" s="188" t="s">
        <v>433</v>
      </c>
      <c r="J384" s="190" t="s">
        <v>581</v>
      </c>
      <c r="K384" s="188" t="s">
        <v>546</v>
      </c>
      <c r="L384" s="188" t="s">
        <v>77</v>
      </c>
      <c r="M384" s="190" t="s">
        <v>547</v>
      </c>
      <c r="N384" s="49">
        <f>4841.6+9347.2</f>
        <v>14188.800000000001</v>
      </c>
      <c r="O384" s="49">
        <f>(4841600+9344465.76)/1000</f>
        <v>14186.06576</v>
      </c>
      <c r="P384" s="49">
        <v>15435</v>
      </c>
      <c r="Q384" s="52">
        <v>15704.2</v>
      </c>
      <c r="R384" s="52">
        <v>15971.7</v>
      </c>
    </row>
    <row r="385" spans="1:18" s="154" customFormat="1" ht="60.75" customHeight="1">
      <c r="A385" s="216"/>
      <c r="B385" s="232"/>
      <c r="C385" s="8"/>
      <c r="D385" s="42" t="s">
        <v>133</v>
      </c>
      <c r="E385" s="202"/>
      <c r="F385" s="202"/>
      <c r="G385" s="202"/>
      <c r="H385" s="202"/>
      <c r="I385" s="202"/>
      <c r="J385" s="202"/>
      <c r="K385" s="202"/>
      <c r="L385" s="202"/>
      <c r="M385" s="191"/>
      <c r="N385" s="50">
        <v>16986.1</v>
      </c>
      <c r="O385" s="50">
        <v>16986.1</v>
      </c>
      <c r="P385" s="50">
        <v>32708.3</v>
      </c>
      <c r="Q385" s="60">
        <v>33278.9</v>
      </c>
      <c r="R385" s="60">
        <v>33845.7</v>
      </c>
    </row>
    <row r="386" spans="1:18" s="154" customFormat="1" ht="60.75" customHeight="1">
      <c r="A386" s="296" t="s">
        <v>340</v>
      </c>
      <c r="B386" s="231" t="s">
        <v>296</v>
      </c>
      <c r="C386" s="8"/>
      <c r="D386" s="41" t="s">
        <v>231</v>
      </c>
      <c r="E386" s="188" t="s">
        <v>68</v>
      </c>
      <c r="F386" s="188" t="s">
        <v>69</v>
      </c>
      <c r="G386" s="202"/>
      <c r="H386" s="202"/>
      <c r="I386" s="202"/>
      <c r="J386" s="202"/>
      <c r="K386" s="202"/>
      <c r="L386" s="202"/>
      <c r="M386" s="191"/>
      <c r="N386" s="50">
        <v>1546.9</v>
      </c>
      <c r="O386" s="50">
        <v>1546.9</v>
      </c>
      <c r="P386" s="50">
        <v>1877.9</v>
      </c>
      <c r="Q386" s="60">
        <v>1910.7</v>
      </c>
      <c r="R386" s="60">
        <v>1943.2</v>
      </c>
    </row>
    <row r="387" spans="1:18" s="154" customFormat="1" ht="60.75" customHeight="1">
      <c r="A387" s="297"/>
      <c r="B387" s="246"/>
      <c r="C387" s="8"/>
      <c r="D387" s="44" t="s">
        <v>232</v>
      </c>
      <c r="E387" s="189"/>
      <c r="F387" s="189"/>
      <c r="G387" s="189"/>
      <c r="H387" s="189"/>
      <c r="I387" s="189"/>
      <c r="J387" s="189"/>
      <c r="K387" s="189"/>
      <c r="L387" s="189"/>
      <c r="M387" s="192"/>
      <c r="N387" s="54">
        <v>40750.3</v>
      </c>
      <c r="O387" s="54">
        <v>40750.3</v>
      </c>
      <c r="P387" s="54">
        <v>2443.3</v>
      </c>
      <c r="Q387" s="55">
        <v>2485.9</v>
      </c>
      <c r="R387" s="55">
        <v>2528.9</v>
      </c>
    </row>
    <row r="388" spans="1:18" s="154" customFormat="1" ht="78.75" customHeight="1">
      <c r="A388" s="267" t="s">
        <v>1065</v>
      </c>
      <c r="B388" s="268" t="s">
        <v>302</v>
      </c>
      <c r="C388" s="8"/>
      <c r="D388" s="41" t="s">
        <v>232</v>
      </c>
      <c r="E388" s="188" t="s">
        <v>28</v>
      </c>
      <c r="F388" s="188" t="s">
        <v>42</v>
      </c>
      <c r="G388" s="188" t="s">
        <v>780</v>
      </c>
      <c r="H388" s="188" t="s">
        <v>861</v>
      </c>
      <c r="I388" s="188" t="s">
        <v>105</v>
      </c>
      <c r="J388" s="188" t="s">
        <v>862</v>
      </c>
      <c r="K388" s="298" t="s">
        <v>582</v>
      </c>
      <c r="L388" s="188" t="s">
        <v>62</v>
      </c>
      <c r="M388" s="190" t="s">
        <v>583</v>
      </c>
      <c r="N388" s="49">
        <v>4568.5</v>
      </c>
      <c r="O388" s="49">
        <f>4547432.36/1000</f>
        <v>4547.432360000001</v>
      </c>
      <c r="P388" s="186">
        <v>0</v>
      </c>
      <c r="Q388" s="186">
        <v>0</v>
      </c>
      <c r="R388" s="186">
        <v>0</v>
      </c>
    </row>
    <row r="389" spans="1:18" s="154" customFormat="1" ht="78.75" customHeight="1">
      <c r="A389" s="267"/>
      <c r="B389" s="268"/>
      <c r="C389" s="8"/>
      <c r="D389" s="44" t="s">
        <v>133</v>
      </c>
      <c r="E389" s="189"/>
      <c r="F389" s="189"/>
      <c r="G389" s="189"/>
      <c r="H389" s="189"/>
      <c r="I389" s="189"/>
      <c r="J389" s="189"/>
      <c r="K389" s="299"/>
      <c r="L389" s="189"/>
      <c r="M389" s="192"/>
      <c r="N389" s="54">
        <v>2494.3</v>
      </c>
      <c r="O389" s="54">
        <v>2494.3</v>
      </c>
      <c r="P389" s="187"/>
      <c r="Q389" s="187"/>
      <c r="R389" s="187"/>
    </row>
    <row r="390" spans="1:18" s="154" customFormat="1" ht="181.5" customHeight="1">
      <c r="A390" s="36" t="s">
        <v>356</v>
      </c>
      <c r="B390" s="21" t="s">
        <v>297</v>
      </c>
      <c r="C390" s="8"/>
      <c r="D390" s="41" t="s">
        <v>12</v>
      </c>
      <c r="E390" s="17" t="s">
        <v>435</v>
      </c>
      <c r="F390" s="17" t="s">
        <v>433</v>
      </c>
      <c r="G390" s="17" t="s">
        <v>436</v>
      </c>
      <c r="H390" s="17" t="s">
        <v>418</v>
      </c>
      <c r="I390" s="17" t="s">
        <v>438</v>
      </c>
      <c r="J390" s="74" t="s">
        <v>434</v>
      </c>
      <c r="K390" s="17" t="s">
        <v>568</v>
      </c>
      <c r="L390" s="17" t="s">
        <v>379</v>
      </c>
      <c r="M390" s="74" t="s">
        <v>584</v>
      </c>
      <c r="N390" s="49">
        <f>(216230.08+1168769.92)/1000</f>
        <v>1385</v>
      </c>
      <c r="O390" s="49">
        <f>(199544.14+1022576.26)/1000</f>
        <v>1222.1204</v>
      </c>
      <c r="P390" s="49">
        <v>891.2</v>
      </c>
      <c r="Q390" s="52">
        <v>1035.4</v>
      </c>
      <c r="R390" s="52">
        <v>842.2</v>
      </c>
    </row>
    <row r="391" spans="1:18" s="154" customFormat="1" ht="99.75" customHeight="1">
      <c r="A391" s="36" t="s">
        <v>357</v>
      </c>
      <c r="B391" s="21" t="s">
        <v>304</v>
      </c>
      <c r="C391" s="8"/>
      <c r="D391" s="41" t="s">
        <v>177</v>
      </c>
      <c r="E391" s="17"/>
      <c r="F391" s="17"/>
      <c r="G391" s="17"/>
      <c r="H391" s="17" t="s">
        <v>437</v>
      </c>
      <c r="I391" s="17" t="s">
        <v>863</v>
      </c>
      <c r="J391" s="74" t="s">
        <v>434</v>
      </c>
      <c r="K391" s="17" t="s">
        <v>585</v>
      </c>
      <c r="L391" s="74" t="s">
        <v>222</v>
      </c>
      <c r="M391" s="74" t="s">
        <v>196</v>
      </c>
      <c r="N391" s="49">
        <v>1</v>
      </c>
      <c r="O391" s="49">
        <v>0</v>
      </c>
      <c r="P391" s="49">
        <v>1.1</v>
      </c>
      <c r="Q391" s="49">
        <v>1.1</v>
      </c>
      <c r="R391" s="49">
        <v>1.1</v>
      </c>
    </row>
    <row r="392" spans="1:18" s="154" customFormat="1" ht="73.5" customHeight="1">
      <c r="A392" s="36" t="s">
        <v>358</v>
      </c>
      <c r="B392" s="21" t="s">
        <v>303</v>
      </c>
      <c r="C392" s="11"/>
      <c r="D392" s="41" t="s">
        <v>177</v>
      </c>
      <c r="E392" s="17" t="s">
        <v>449</v>
      </c>
      <c r="F392" s="17" t="s">
        <v>450</v>
      </c>
      <c r="G392" s="17" t="s">
        <v>451</v>
      </c>
      <c r="H392" s="17" t="s">
        <v>439</v>
      </c>
      <c r="I392" s="17" t="s">
        <v>387</v>
      </c>
      <c r="J392" s="74" t="s">
        <v>434</v>
      </c>
      <c r="K392" s="17" t="s">
        <v>586</v>
      </c>
      <c r="L392" s="17" t="s">
        <v>222</v>
      </c>
      <c r="M392" s="17" t="s">
        <v>250</v>
      </c>
      <c r="N392" s="49">
        <v>529</v>
      </c>
      <c r="O392" s="49">
        <f>490145/1000</f>
        <v>490.145</v>
      </c>
      <c r="P392" s="49">
        <v>560</v>
      </c>
      <c r="Q392" s="52">
        <v>583</v>
      </c>
      <c r="R392" s="52">
        <v>583</v>
      </c>
    </row>
    <row r="393" spans="1:18" s="154" customFormat="1" ht="84.75" customHeight="1">
      <c r="A393" s="36" t="s">
        <v>359</v>
      </c>
      <c r="B393" s="21" t="s">
        <v>288</v>
      </c>
      <c r="C393" s="15"/>
      <c r="D393" s="41" t="s">
        <v>200</v>
      </c>
      <c r="E393" s="17" t="s">
        <v>452</v>
      </c>
      <c r="F393" s="17" t="s">
        <v>411</v>
      </c>
      <c r="G393" s="17" t="s">
        <v>453</v>
      </c>
      <c r="H393" s="17" t="s">
        <v>440</v>
      </c>
      <c r="I393" s="17" t="s">
        <v>441</v>
      </c>
      <c r="J393" s="74" t="s">
        <v>3</v>
      </c>
      <c r="K393" s="17" t="s">
        <v>587</v>
      </c>
      <c r="L393" s="17" t="s">
        <v>62</v>
      </c>
      <c r="M393" s="17" t="s">
        <v>293</v>
      </c>
      <c r="N393" s="49">
        <f>595300/1000</f>
        <v>595.3</v>
      </c>
      <c r="O393" s="49">
        <f>505998/1000</f>
        <v>505.998</v>
      </c>
      <c r="P393" s="49">
        <v>849</v>
      </c>
      <c r="Q393" s="49">
        <v>539</v>
      </c>
      <c r="R393" s="49">
        <v>541</v>
      </c>
    </row>
    <row r="394" spans="1:18" s="153" customFormat="1" ht="96.75" customHeight="1">
      <c r="A394" s="37" t="s">
        <v>496</v>
      </c>
      <c r="B394" s="20" t="s">
        <v>1067</v>
      </c>
      <c r="C394" s="8"/>
      <c r="D394" s="77" t="s">
        <v>271</v>
      </c>
      <c r="E394" s="17" t="s">
        <v>490</v>
      </c>
      <c r="F394" s="17" t="s">
        <v>491</v>
      </c>
      <c r="G394" s="17" t="s">
        <v>492</v>
      </c>
      <c r="H394" s="188" t="s">
        <v>493</v>
      </c>
      <c r="I394" s="188" t="s">
        <v>494</v>
      </c>
      <c r="J394" s="188" t="s">
        <v>495</v>
      </c>
      <c r="K394" s="17" t="s">
        <v>590</v>
      </c>
      <c r="L394" s="17" t="s">
        <v>222</v>
      </c>
      <c r="M394" s="17" t="s">
        <v>591</v>
      </c>
      <c r="N394" s="142">
        <v>2598.393</v>
      </c>
      <c r="O394" s="49">
        <f>2130150/1000</f>
        <v>2130.15</v>
      </c>
      <c r="P394" s="142">
        <v>0</v>
      </c>
      <c r="Q394" s="143">
        <v>0</v>
      </c>
      <c r="R394" s="143">
        <v>0</v>
      </c>
    </row>
    <row r="395" spans="1:18" s="153" customFormat="1" ht="145.5" customHeight="1">
      <c r="A395" s="83"/>
      <c r="B395" s="136"/>
      <c r="C395" s="8"/>
      <c r="D395" s="78"/>
      <c r="E395" s="150"/>
      <c r="F395" s="150"/>
      <c r="G395" s="150"/>
      <c r="H395" s="189"/>
      <c r="I395" s="189"/>
      <c r="J395" s="189"/>
      <c r="K395" s="25" t="s">
        <v>489</v>
      </c>
      <c r="L395" s="25" t="s">
        <v>173</v>
      </c>
      <c r="M395" s="63" t="s">
        <v>548</v>
      </c>
      <c r="N395" s="93"/>
      <c r="O395" s="54"/>
      <c r="P395" s="93"/>
      <c r="Q395" s="131"/>
      <c r="R395" s="131"/>
    </row>
    <row r="396" spans="1:18" s="158" customFormat="1" ht="25.5" customHeight="1">
      <c r="A396" s="34" t="s">
        <v>39</v>
      </c>
      <c r="B396" s="227" t="s">
        <v>1123</v>
      </c>
      <c r="C396" s="228"/>
      <c r="D396" s="228"/>
      <c r="E396" s="228"/>
      <c r="F396" s="228"/>
      <c r="G396" s="228"/>
      <c r="H396" s="228"/>
      <c r="I396" s="228"/>
      <c r="J396" s="228"/>
      <c r="K396" s="228"/>
      <c r="L396" s="228"/>
      <c r="M396" s="229"/>
      <c r="N396" s="46">
        <f>SUM(N397:N403)</f>
        <v>505.81474000000003</v>
      </c>
      <c r="O396" s="46">
        <f>SUM(O397:O403)</f>
        <v>481.77174</v>
      </c>
      <c r="P396" s="46">
        <f>SUM(P397:P403)</f>
        <v>2520.74</v>
      </c>
      <c r="Q396" s="46">
        <f>SUM(Q397:Q403)</f>
        <v>2547.8</v>
      </c>
      <c r="R396" s="46">
        <f>SUM(R397:R403)</f>
        <v>2574.7</v>
      </c>
    </row>
    <row r="397" spans="1:18" s="159" customFormat="1" ht="63" customHeight="1">
      <c r="A397" s="39"/>
      <c r="B397" s="7" t="s">
        <v>239</v>
      </c>
      <c r="C397" s="9"/>
      <c r="D397" s="40" t="s">
        <v>271</v>
      </c>
      <c r="E397" s="3" t="s">
        <v>28</v>
      </c>
      <c r="F397" s="3" t="s">
        <v>138</v>
      </c>
      <c r="G397" s="3" t="s">
        <v>780</v>
      </c>
      <c r="H397" s="3"/>
      <c r="I397" s="3"/>
      <c r="J397" s="3"/>
      <c r="K397" s="3" t="s">
        <v>1036</v>
      </c>
      <c r="L397" s="3" t="s">
        <v>275</v>
      </c>
      <c r="M397" s="3" t="s">
        <v>272</v>
      </c>
      <c r="N397" s="47">
        <v>191.494</v>
      </c>
      <c r="O397" s="47">
        <f>191451/1000</f>
        <v>191.451</v>
      </c>
      <c r="P397" s="47">
        <v>191.74</v>
      </c>
      <c r="Q397" s="48">
        <v>201.7</v>
      </c>
      <c r="R397" s="48">
        <v>211.6</v>
      </c>
    </row>
    <row r="398" spans="1:18" s="159" customFormat="1" ht="58.5" customHeight="1">
      <c r="A398" s="39"/>
      <c r="B398" s="105" t="s">
        <v>732</v>
      </c>
      <c r="C398" s="9"/>
      <c r="D398" s="40" t="s">
        <v>278</v>
      </c>
      <c r="E398" s="3" t="s">
        <v>28</v>
      </c>
      <c r="F398" s="3" t="s">
        <v>138</v>
      </c>
      <c r="G398" s="3" t="s">
        <v>780</v>
      </c>
      <c r="H398" s="3"/>
      <c r="I398" s="3"/>
      <c r="J398" s="3"/>
      <c r="K398" s="29" t="s">
        <v>733</v>
      </c>
      <c r="L398" s="29" t="s">
        <v>62</v>
      </c>
      <c r="M398" s="29" t="s">
        <v>734</v>
      </c>
      <c r="N398" s="47">
        <v>0</v>
      </c>
      <c r="O398" s="47">
        <v>0</v>
      </c>
      <c r="P398" s="47">
        <v>300</v>
      </c>
      <c r="Q398" s="48">
        <v>315.6</v>
      </c>
      <c r="R398" s="48">
        <v>331.1</v>
      </c>
    </row>
    <row r="399" spans="1:18" s="159" customFormat="1" ht="60.75" customHeight="1">
      <c r="A399" s="39"/>
      <c r="B399" s="7" t="s">
        <v>238</v>
      </c>
      <c r="C399" s="9"/>
      <c r="D399" s="40" t="s">
        <v>271</v>
      </c>
      <c r="E399" s="3" t="s">
        <v>28</v>
      </c>
      <c r="F399" s="3" t="s">
        <v>138</v>
      </c>
      <c r="G399" s="3" t="s">
        <v>780</v>
      </c>
      <c r="H399" s="3"/>
      <c r="I399" s="3"/>
      <c r="J399" s="3"/>
      <c r="K399" s="3" t="s">
        <v>155</v>
      </c>
      <c r="L399" s="3" t="s">
        <v>65</v>
      </c>
      <c r="M399" s="3" t="s">
        <v>24</v>
      </c>
      <c r="N399" s="47">
        <v>24</v>
      </c>
      <c r="O399" s="47">
        <v>0</v>
      </c>
      <c r="P399" s="47">
        <v>29</v>
      </c>
      <c r="Q399" s="48">
        <v>30.5</v>
      </c>
      <c r="R399" s="48">
        <v>32</v>
      </c>
    </row>
    <row r="400" spans="1:18" s="155" customFormat="1" ht="96" customHeight="1">
      <c r="A400" s="34"/>
      <c r="B400" s="28" t="s">
        <v>1076</v>
      </c>
      <c r="C400" s="8"/>
      <c r="D400" s="64" t="s">
        <v>278</v>
      </c>
      <c r="E400" s="3" t="s">
        <v>28</v>
      </c>
      <c r="F400" s="3" t="s">
        <v>442</v>
      </c>
      <c r="G400" s="3" t="s">
        <v>780</v>
      </c>
      <c r="H400" s="110" t="s">
        <v>1000</v>
      </c>
      <c r="I400" s="110" t="s">
        <v>1001</v>
      </c>
      <c r="J400" s="110" t="s">
        <v>1002</v>
      </c>
      <c r="K400" s="25" t="s">
        <v>1074</v>
      </c>
      <c r="L400" s="25" t="s">
        <v>865</v>
      </c>
      <c r="M400" s="25" t="s">
        <v>1075</v>
      </c>
      <c r="N400" s="47">
        <f>112+97.07074</f>
        <v>209.07074</v>
      </c>
      <c r="O400" s="47">
        <f>(97070.74+112000)/1000</f>
        <v>209.07074</v>
      </c>
      <c r="P400" s="47">
        <v>0</v>
      </c>
      <c r="Q400" s="47">
        <v>0</v>
      </c>
      <c r="R400" s="47">
        <v>0</v>
      </c>
    </row>
    <row r="401" spans="1:18" s="155" customFormat="1" ht="70.5" customHeight="1">
      <c r="A401" s="34"/>
      <c r="B401" s="28" t="s">
        <v>549</v>
      </c>
      <c r="C401" s="8"/>
      <c r="D401" s="64" t="s">
        <v>278</v>
      </c>
      <c r="E401" s="3" t="s">
        <v>28</v>
      </c>
      <c r="F401" s="3" t="s">
        <v>442</v>
      </c>
      <c r="G401" s="3" t="s">
        <v>780</v>
      </c>
      <c r="H401" s="3" t="s">
        <v>550</v>
      </c>
      <c r="I401" s="3" t="s">
        <v>62</v>
      </c>
      <c r="J401" s="3" t="s">
        <v>561</v>
      </c>
      <c r="K401" s="80" t="s">
        <v>562</v>
      </c>
      <c r="L401" s="26" t="s">
        <v>222</v>
      </c>
      <c r="M401" s="26" t="s">
        <v>563</v>
      </c>
      <c r="N401" s="47">
        <f>81250/1000</f>
        <v>81.25</v>
      </c>
      <c r="O401" s="47">
        <f>81250/1000</f>
        <v>81.25</v>
      </c>
      <c r="P401" s="47">
        <v>0</v>
      </c>
      <c r="Q401" s="47">
        <v>0</v>
      </c>
      <c r="R401" s="47">
        <v>0</v>
      </c>
    </row>
    <row r="402" spans="1:18" s="155" customFormat="1" ht="157.5" customHeight="1">
      <c r="A402" s="211"/>
      <c r="B402" s="209" t="s">
        <v>1185</v>
      </c>
      <c r="C402" s="8"/>
      <c r="D402" s="213" t="s">
        <v>271</v>
      </c>
      <c r="E402" s="188" t="s">
        <v>28</v>
      </c>
      <c r="F402" s="188" t="s">
        <v>442</v>
      </c>
      <c r="G402" s="188" t="s">
        <v>780</v>
      </c>
      <c r="H402" s="188" t="s">
        <v>1234</v>
      </c>
      <c r="I402" s="188" t="s">
        <v>613</v>
      </c>
      <c r="J402" s="190" t="s">
        <v>1149</v>
      </c>
      <c r="K402" s="30" t="s">
        <v>1230</v>
      </c>
      <c r="L402" s="24" t="s">
        <v>1141</v>
      </c>
      <c r="M402" s="24" t="s">
        <v>1206</v>
      </c>
      <c r="N402" s="49">
        <v>0</v>
      </c>
      <c r="O402" s="49">
        <v>0</v>
      </c>
      <c r="P402" s="49">
        <v>1000</v>
      </c>
      <c r="Q402" s="49">
        <v>1000</v>
      </c>
      <c r="R402" s="49">
        <v>1000</v>
      </c>
    </row>
    <row r="403" spans="1:18" s="155" customFormat="1" ht="185.25" customHeight="1">
      <c r="A403" s="212"/>
      <c r="B403" s="210"/>
      <c r="C403" s="8"/>
      <c r="D403" s="214"/>
      <c r="E403" s="189"/>
      <c r="F403" s="189"/>
      <c r="G403" s="189"/>
      <c r="H403" s="189"/>
      <c r="I403" s="189"/>
      <c r="J403" s="189"/>
      <c r="K403" s="177" t="s">
        <v>1231</v>
      </c>
      <c r="L403" s="25" t="s">
        <v>1232</v>
      </c>
      <c r="M403" s="25" t="s">
        <v>1233</v>
      </c>
      <c r="N403" s="54">
        <v>0</v>
      </c>
      <c r="O403" s="54">
        <v>0</v>
      </c>
      <c r="P403" s="54">
        <v>1000</v>
      </c>
      <c r="Q403" s="54">
        <v>1000</v>
      </c>
      <c r="R403" s="54">
        <v>1000</v>
      </c>
    </row>
    <row r="404" spans="1:18" s="153" customFormat="1" ht="23.25" customHeight="1">
      <c r="A404" s="39"/>
      <c r="B404" s="303" t="s">
        <v>1124</v>
      </c>
      <c r="C404" s="304"/>
      <c r="D404" s="304"/>
      <c r="E404" s="304"/>
      <c r="F404" s="304"/>
      <c r="G404" s="304"/>
      <c r="H404" s="304"/>
      <c r="I404" s="304"/>
      <c r="J404" s="304"/>
      <c r="K404" s="304"/>
      <c r="L404" s="304"/>
      <c r="M404" s="305"/>
      <c r="N404" s="46">
        <f>N6+N346+N396+N218</f>
        <v>1234196.85571</v>
      </c>
      <c r="O404" s="46">
        <f>O6+O346+O396+O218</f>
        <v>1180672.86975</v>
      </c>
      <c r="P404" s="46">
        <f>P6+P346+P396+P218</f>
        <v>1105162.38742</v>
      </c>
      <c r="Q404" s="46">
        <f>Q6+Q346+Q396+Q218</f>
        <v>993534.7000000002</v>
      </c>
      <c r="R404" s="46">
        <f>R6+R346+R396+R218</f>
        <v>1017966.2999999999</v>
      </c>
    </row>
    <row r="405" ht="8.25" customHeight="1"/>
    <row r="406" spans="9:13" ht="38.25" customHeight="1">
      <c r="I406" s="101"/>
      <c r="J406" s="101"/>
      <c r="K406" s="101"/>
      <c r="L406" s="101"/>
      <c r="M406" s="101"/>
    </row>
    <row r="407" spans="1:18" s="153" customFormat="1" ht="15" customHeight="1">
      <c r="A407" s="95"/>
      <c r="B407" s="95" t="s">
        <v>1287</v>
      </c>
      <c r="C407" s="95"/>
      <c r="D407" s="306"/>
      <c r="E407" s="306"/>
      <c r="F407" s="306"/>
      <c r="G407" s="306"/>
      <c r="H407" s="96" t="s">
        <v>650</v>
      </c>
      <c r="I407" s="307" t="s">
        <v>651</v>
      </c>
      <c r="J407" s="307"/>
      <c r="K407" s="307"/>
      <c r="L407" s="307"/>
      <c r="M407" s="307"/>
      <c r="N407" s="97"/>
      <c r="O407" s="160"/>
      <c r="P407" s="4"/>
      <c r="Q407" s="4"/>
      <c r="R407" s="2"/>
    </row>
    <row r="408" spans="1:18" s="153" customFormat="1" ht="22.5" customHeight="1">
      <c r="A408" s="4"/>
      <c r="B408" s="4"/>
      <c r="C408" s="4"/>
      <c r="D408" s="308"/>
      <c r="E408" s="308"/>
      <c r="F408" s="308"/>
      <c r="G408" s="308"/>
      <c r="H408" s="99" t="s">
        <v>652</v>
      </c>
      <c r="I408" s="309" t="s">
        <v>653</v>
      </c>
      <c r="J408" s="309"/>
      <c r="K408" s="309"/>
      <c r="L408" s="308"/>
      <c r="M408" s="308"/>
      <c r="N408" s="99"/>
      <c r="O408" s="99"/>
      <c r="P408" s="98"/>
      <c r="Q408" s="4"/>
      <c r="R408" s="2"/>
    </row>
    <row r="409" spans="1:18" s="153" customFormat="1" ht="20.25" customHeight="1">
      <c r="A409" s="4"/>
      <c r="B409" s="4"/>
      <c r="C409" s="4"/>
      <c r="D409" s="4"/>
      <c r="E409" s="4"/>
      <c r="F409" s="4"/>
      <c r="G409" s="4"/>
      <c r="H409" s="100"/>
      <c r="I409" s="4"/>
      <c r="J409" s="4"/>
      <c r="K409" s="100"/>
      <c r="L409" s="4"/>
      <c r="M409" s="99"/>
      <c r="N409" s="4"/>
      <c r="O409" s="4"/>
      <c r="P409" s="4"/>
      <c r="Q409" s="4"/>
      <c r="R409" s="2"/>
    </row>
  </sheetData>
  <sheetProtection/>
  <autoFilter ref="A4:Q404"/>
  <mergeCells count="754">
    <mergeCell ref="Q170:Q171"/>
    <mergeCell ref="R170:R171"/>
    <mergeCell ref="H170:H171"/>
    <mergeCell ref="I170:I171"/>
    <mergeCell ref="J170:J171"/>
    <mergeCell ref="N170:N171"/>
    <mergeCell ref="O170:O171"/>
    <mergeCell ref="P170:P171"/>
    <mergeCell ref="B170:B171"/>
    <mergeCell ref="A170:A171"/>
    <mergeCell ref="D170:D171"/>
    <mergeCell ref="E170:E171"/>
    <mergeCell ref="F170:F171"/>
    <mergeCell ref="G170:G171"/>
    <mergeCell ref="J51:J52"/>
    <mergeCell ref="N51:N52"/>
    <mergeCell ref="O51:O52"/>
    <mergeCell ref="P51:P52"/>
    <mergeCell ref="Q51:Q52"/>
    <mergeCell ref="R51:R52"/>
    <mergeCell ref="Q176:Q177"/>
    <mergeCell ref="R176:R177"/>
    <mergeCell ref="B51:B52"/>
    <mergeCell ref="A51:A52"/>
    <mergeCell ref="D51:D52"/>
    <mergeCell ref="E51:E52"/>
    <mergeCell ref="F51:F52"/>
    <mergeCell ref="G51:G52"/>
    <mergeCell ref="H51:H52"/>
    <mergeCell ref="I51:I52"/>
    <mergeCell ref="H176:H177"/>
    <mergeCell ref="I176:I177"/>
    <mergeCell ref="J176:J177"/>
    <mergeCell ref="N176:N177"/>
    <mergeCell ref="O176:O177"/>
    <mergeCell ref="P176:P177"/>
    <mergeCell ref="B176:B177"/>
    <mergeCell ref="A176:A177"/>
    <mergeCell ref="D176:D177"/>
    <mergeCell ref="E176:E177"/>
    <mergeCell ref="F176:F177"/>
    <mergeCell ref="G176:G177"/>
    <mergeCell ref="D407:G407"/>
    <mergeCell ref="I407:M407"/>
    <mergeCell ref="D408:G408"/>
    <mergeCell ref="I408:K408"/>
    <mergeCell ref="L408:M408"/>
    <mergeCell ref="J214:J216"/>
    <mergeCell ref="K214:K216"/>
    <mergeCell ref="L214:L216"/>
    <mergeCell ref="M214:M216"/>
    <mergeCell ref="D215:D216"/>
    <mergeCell ref="B404:M404"/>
    <mergeCell ref="I166:I168"/>
    <mergeCell ref="J166:J168"/>
    <mergeCell ref="K166:K168"/>
    <mergeCell ref="L166:L168"/>
    <mergeCell ref="M166:M168"/>
    <mergeCell ref="E214:E216"/>
    <mergeCell ref="F214:F216"/>
    <mergeCell ref="G214:G216"/>
    <mergeCell ref="H214:H216"/>
    <mergeCell ref="I214:I216"/>
    <mergeCell ref="Q388:Q389"/>
    <mergeCell ref="R388:R389"/>
    <mergeCell ref="B396:M396"/>
    <mergeCell ref="A166:A168"/>
    <mergeCell ref="B166:B168"/>
    <mergeCell ref="D166:D168"/>
    <mergeCell ref="E166:E168"/>
    <mergeCell ref="F166:F168"/>
    <mergeCell ref="G166:G168"/>
    <mergeCell ref="H166:H168"/>
    <mergeCell ref="I388:I389"/>
    <mergeCell ref="J388:J389"/>
    <mergeCell ref="K388:K389"/>
    <mergeCell ref="L388:L389"/>
    <mergeCell ref="H394:H395"/>
    <mergeCell ref="I394:I395"/>
    <mergeCell ref="J394:J395"/>
    <mergeCell ref="I230:I231"/>
    <mergeCell ref="J230:J231"/>
    <mergeCell ref="J366:J368"/>
    <mergeCell ref="K366:K368"/>
    <mergeCell ref="L366:L368"/>
    <mergeCell ref="M388:M389"/>
    <mergeCell ref="H388:H389"/>
    <mergeCell ref="P388:P389"/>
    <mergeCell ref="J384:J387"/>
    <mergeCell ref="K384:K387"/>
    <mergeCell ref="L384:L387"/>
    <mergeCell ref="M384:M387"/>
    <mergeCell ref="I384:I387"/>
    <mergeCell ref="H366:H368"/>
    <mergeCell ref="A388:A389"/>
    <mergeCell ref="B388:B389"/>
    <mergeCell ref="E388:E389"/>
    <mergeCell ref="F388:F389"/>
    <mergeCell ref="G388:G389"/>
    <mergeCell ref="I366:I368"/>
    <mergeCell ref="G366:G368"/>
    <mergeCell ref="J358:J364"/>
    <mergeCell ref="Q366:Q368"/>
    <mergeCell ref="R366:R368"/>
    <mergeCell ref="A384:A387"/>
    <mergeCell ref="B384:B387"/>
    <mergeCell ref="E384:E387"/>
    <mergeCell ref="F384:F387"/>
    <mergeCell ref="G384:G387"/>
    <mergeCell ref="A366:A368"/>
    <mergeCell ref="H384:H387"/>
    <mergeCell ref="M366:M368"/>
    <mergeCell ref="M358:M364"/>
    <mergeCell ref="P366:P368"/>
    <mergeCell ref="B366:B368"/>
    <mergeCell ref="C366:C368"/>
    <mergeCell ref="E366:E368"/>
    <mergeCell ref="F366:F368"/>
    <mergeCell ref="D366:D368"/>
    <mergeCell ref="K358:K364"/>
    <mergeCell ref="I358:I364"/>
    <mergeCell ref="O350:O355"/>
    <mergeCell ref="P350:P355"/>
    <mergeCell ref="Q350:Q355"/>
    <mergeCell ref="R350:R355"/>
    <mergeCell ref="N350:N355"/>
    <mergeCell ref="D350:D355"/>
    <mergeCell ref="H350:H356"/>
    <mergeCell ref="I350:I356"/>
    <mergeCell ref="G358:G364"/>
    <mergeCell ref="H358:H364"/>
    <mergeCell ref="E350:E356"/>
    <mergeCell ref="F350:F356"/>
    <mergeCell ref="G350:G356"/>
    <mergeCell ref="A350:A355"/>
    <mergeCell ref="B350:B355"/>
    <mergeCell ref="I319:I320"/>
    <mergeCell ref="J319:J320"/>
    <mergeCell ref="B346:M346"/>
    <mergeCell ref="E319:E320"/>
    <mergeCell ref="F319:F320"/>
    <mergeCell ref="G319:G320"/>
    <mergeCell ref="B343:B344"/>
    <mergeCell ref="A319:A320"/>
    <mergeCell ref="B319:B320"/>
    <mergeCell ref="D319:D320"/>
    <mergeCell ref="J311:J312"/>
    <mergeCell ref="N311:N312"/>
    <mergeCell ref="O311:O312"/>
    <mergeCell ref="G311:G312"/>
    <mergeCell ref="H311:H312"/>
    <mergeCell ref="I311:I312"/>
    <mergeCell ref="H319:H320"/>
    <mergeCell ref="A311:A312"/>
    <mergeCell ref="B311:B312"/>
    <mergeCell ref="D311:D312"/>
    <mergeCell ref="E311:E312"/>
    <mergeCell ref="F311:F312"/>
    <mergeCell ref="J309:J310"/>
    <mergeCell ref="A309:A310"/>
    <mergeCell ref="B309:B310"/>
    <mergeCell ref="D309:D310"/>
    <mergeCell ref="E309:E310"/>
    <mergeCell ref="Q311:Q312"/>
    <mergeCell ref="Q305:Q306"/>
    <mergeCell ref="R305:R306"/>
    <mergeCell ref="O305:O306"/>
    <mergeCell ref="P305:P306"/>
    <mergeCell ref="R311:R312"/>
    <mergeCell ref="Q309:Q310"/>
    <mergeCell ref="R309:R310"/>
    <mergeCell ref="O309:O310"/>
    <mergeCell ref="P309:P310"/>
    <mergeCell ref="H305:H306"/>
    <mergeCell ref="I305:I306"/>
    <mergeCell ref="P311:P312"/>
    <mergeCell ref="J305:J306"/>
    <mergeCell ref="N305:N306"/>
    <mergeCell ref="N309:N310"/>
    <mergeCell ref="A305:A306"/>
    <mergeCell ref="B305:B306"/>
    <mergeCell ref="D305:D306"/>
    <mergeCell ref="E305:E306"/>
    <mergeCell ref="F305:F306"/>
    <mergeCell ref="G305:G306"/>
    <mergeCell ref="F309:F310"/>
    <mergeCell ref="J297:J299"/>
    <mergeCell ref="N297:N299"/>
    <mergeCell ref="O297:O299"/>
    <mergeCell ref="P297:P299"/>
    <mergeCell ref="Q297:Q299"/>
    <mergeCell ref="I297:I299"/>
    <mergeCell ref="G309:G310"/>
    <mergeCell ref="H309:H310"/>
    <mergeCell ref="I309:I310"/>
    <mergeCell ref="R297:R299"/>
    <mergeCell ref="Q289:Q292"/>
    <mergeCell ref="R289:R292"/>
    <mergeCell ref="A297:A299"/>
    <mergeCell ref="B297:B299"/>
    <mergeCell ref="D297:D299"/>
    <mergeCell ref="E297:E299"/>
    <mergeCell ref="F297:F299"/>
    <mergeCell ref="G297:G299"/>
    <mergeCell ref="H297:H299"/>
    <mergeCell ref="H289:H292"/>
    <mergeCell ref="I289:I292"/>
    <mergeCell ref="J289:J292"/>
    <mergeCell ref="N289:N292"/>
    <mergeCell ref="O289:O292"/>
    <mergeCell ref="P289:P292"/>
    <mergeCell ref="A289:A292"/>
    <mergeCell ref="B289:B292"/>
    <mergeCell ref="D289:D292"/>
    <mergeCell ref="E289:E292"/>
    <mergeCell ref="F289:F292"/>
    <mergeCell ref="G289:G292"/>
    <mergeCell ref="J274:J275"/>
    <mergeCell ref="N274:N275"/>
    <mergeCell ref="O274:O275"/>
    <mergeCell ref="P274:P275"/>
    <mergeCell ref="Q274:Q275"/>
    <mergeCell ref="R274:R275"/>
    <mergeCell ref="Q226:Q229"/>
    <mergeCell ref="R226:R229"/>
    <mergeCell ref="A274:A275"/>
    <mergeCell ref="B274:B275"/>
    <mergeCell ref="D274:D275"/>
    <mergeCell ref="E274:E275"/>
    <mergeCell ref="F274:F275"/>
    <mergeCell ref="G274:G275"/>
    <mergeCell ref="H274:H275"/>
    <mergeCell ref="I274:I275"/>
    <mergeCell ref="H226:H229"/>
    <mergeCell ref="I226:I229"/>
    <mergeCell ref="J226:J229"/>
    <mergeCell ref="N226:N229"/>
    <mergeCell ref="O226:O229"/>
    <mergeCell ref="P226:P229"/>
    <mergeCell ref="A226:A229"/>
    <mergeCell ref="B226:B229"/>
    <mergeCell ref="D226:D229"/>
    <mergeCell ref="E226:E229"/>
    <mergeCell ref="F226:F229"/>
    <mergeCell ref="G226:G229"/>
    <mergeCell ref="J270:J271"/>
    <mergeCell ref="N270:N271"/>
    <mergeCell ref="O270:O271"/>
    <mergeCell ref="P270:P271"/>
    <mergeCell ref="Q270:Q271"/>
    <mergeCell ref="R270:R271"/>
    <mergeCell ref="Q259:Q264"/>
    <mergeCell ref="R259:R264"/>
    <mergeCell ref="A270:A271"/>
    <mergeCell ref="B270:B271"/>
    <mergeCell ref="D270:D271"/>
    <mergeCell ref="E270:E271"/>
    <mergeCell ref="F270:F271"/>
    <mergeCell ref="G270:G271"/>
    <mergeCell ref="H270:H271"/>
    <mergeCell ref="I270:I271"/>
    <mergeCell ref="H259:H264"/>
    <mergeCell ref="I259:I264"/>
    <mergeCell ref="J259:J264"/>
    <mergeCell ref="N259:N264"/>
    <mergeCell ref="O259:O264"/>
    <mergeCell ref="P259:P264"/>
    <mergeCell ref="A259:A264"/>
    <mergeCell ref="B259:B264"/>
    <mergeCell ref="D259:D264"/>
    <mergeCell ref="E259:E264"/>
    <mergeCell ref="F259:F264"/>
    <mergeCell ref="G259:G264"/>
    <mergeCell ref="J237:J239"/>
    <mergeCell ref="N237:N239"/>
    <mergeCell ref="O237:O239"/>
    <mergeCell ref="P237:P239"/>
    <mergeCell ref="Q237:Q239"/>
    <mergeCell ref="R237:R239"/>
    <mergeCell ref="N222:N223"/>
    <mergeCell ref="P222:P223"/>
    <mergeCell ref="Q222:Q223"/>
    <mergeCell ref="R222:R223"/>
    <mergeCell ref="A237:A239"/>
    <mergeCell ref="B237:B239"/>
    <mergeCell ref="D237:D239"/>
    <mergeCell ref="E237:E239"/>
    <mergeCell ref="F237:F239"/>
    <mergeCell ref="G237:G239"/>
    <mergeCell ref="B211:M211"/>
    <mergeCell ref="B217:M217"/>
    <mergeCell ref="B218:M218"/>
    <mergeCell ref="A222:A223"/>
    <mergeCell ref="B222:B223"/>
    <mergeCell ref="D222:D224"/>
    <mergeCell ref="E222:E224"/>
    <mergeCell ref="F222:F224"/>
    <mergeCell ref="G222:G224"/>
    <mergeCell ref="H222:H224"/>
    <mergeCell ref="A206:A207"/>
    <mergeCell ref="B206:B207"/>
    <mergeCell ref="B208:M208"/>
    <mergeCell ref="B209:M209"/>
    <mergeCell ref="B210:M210"/>
    <mergeCell ref="A199:A204"/>
    <mergeCell ref="E199:E207"/>
    <mergeCell ref="F199:F207"/>
    <mergeCell ref="G199:G207"/>
    <mergeCell ref="H200:H207"/>
    <mergeCell ref="H194:H196"/>
    <mergeCell ref="I200:I207"/>
    <mergeCell ref="N194:N195"/>
    <mergeCell ref="O194:O195"/>
    <mergeCell ref="P194:P195"/>
    <mergeCell ref="Q194:Q195"/>
    <mergeCell ref="I194:I196"/>
    <mergeCell ref="J194:J196"/>
    <mergeCell ref="J200:J207"/>
    <mergeCell ref="B191:M191"/>
    <mergeCell ref="R194:R195"/>
    <mergeCell ref="B197:M197"/>
    <mergeCell ref="B192:M192"/>
    <mergeCell ref="A194:A196"/>
    <mergeCell ref="B194:B196"/>
    <mergeCell ref="D194:D196"/>
    <mergeCell ref="E194:E196"/>
    <mergeCell ref="F194:F196"/>
    <mergeCell ref="G194:G196"/>
    <mergeCell ref="B185:M185"/>
    <mergeCell ref="B186:M186"/>
    <mergeCell ref="B187:M187"/>
    <mergeCell ref="B188:M188"/>
    <mergeCell ref="B189:M189"/>
    <mergeCell ref="B190:M190"/>
    <mergeCell ref="J179:J180"/>
    <mergeCell ref="K179:K180"/>
    <mergeCell ref="L179:L180"/>
    <mergeCell ref="M179:M180"/>
    <mergeCell ref="B183:M183"/>
    <mergeCell ref="B184:M184"/>
    <mergeCell ref="M164:M165"/>
    <mergeCell ref="B169:M169"/>
    <mergeCell ref="B178:M178"/>
    <mergeCell ref="A179:A180"/>
    <mergeCell ref="B179:B180"/>
    <mergeCell ref="E179:E180"/>
    <mergeCell ref="F179:F180"/>
    <mergeCell ref="G179:G180"/>
    <mergeCell ref="H179:H180"/>
    <mergeCell ref="I179:I180"/>
    <mergeCell ref="R157:R158"/>
    <mergeCell ref="B159:M159"/>
    <mergeCell ref="B160:M160"/>
    <mergeCell ref="B161:M161"/>
    <mergeCell ref="B162:M162"/>
    <mergeCell ref="A164:A165"/>
    <mergeCell ref="B164:B165"/>
    <mergeCell ref="D164:D165"/>
    <mergeCell ref="K164:K165"/>
    <mergeCell ref="L164:L165"/>
    <mergeCell ref="L157:L158"/>
    <mergeCell ref="M157:M158"/>
    <mergeCell ref="N157:N158"/>
    <mergeCell ref="O157:O158"/>
    <mergeCell ref="P157:P158"/>
    <mergeCell ref="Q157:Q158"/>
    <mergeCell ref="B152:M152"/>
    <mergeCell ref="B154:M154"/>
    <mergeCell ref="B156:M156"/>
    <mergeCell ref="A157:A158"/>
    <mergeCell ref="B157:B158"/>
    <mergeCell ref="D157:D158"/>
    <mergeCell ref="H157:H158"/>
    <mergeCell ref="I157:I158"/>
    <mergeCell ref="J157:J158"/>
    <mergeCell ref="K157:K158"/>
    <mergeCell ref="J145:J147"/>
    <mergeCell ref="B148:M148"/>
    <mergeCell ref="B149:M149"/>
    <mergeCell ref="K230:K231"/>
    <mergeCell ref="L230:L231"/>
    <mergeCell ref="M230:M231"/>
    <mergeCell ref="E230:E231"/>
    <mergeCell ref="F230:F231"/>
    <mergeCell ref="G230:G231"/>
    <mergeCell ref="H230:H231"/>
    <mergeCell ref="Q141:Q142"/>
    <mergeCell ref="R141:R142"/>
    <mergeCell ref="B143:M143"/>
    <mergeCell ref="B144:M144"/>
    <mergeCell ref="D145:D147"/>
    <mergeCell ref="E145:E147"/>
    <mergeCell ref="F145:F147"/>
    <mergeCell ref="G145:G147"/>
    <mergeCell ref="H145:H147"/>
    <mergeCell ref="I145:I147"/>
    <mergeCell ref="J141:J142"/>
    <mergeCell ref="K141:K142"/>
    <mergeCell ref="L141:L142"/>
    <mergeCell ref="M141:M142"/>
    <mergeCell ref="N141:N142"/>
    <mergeCell ref="P141:P142"/>
    <mergeCell ref="A140:A142"/>
    <mergeCell ref="B140:B142"/>
    <mergeCell ref="C141:C142"/>
    <mergeCell ref="D141:D142"/>
    <mergeCell ref="H141:H142"/>
    <mergeCell ref="I141:I142"/>
    <mergeCell ref="L125:L126"/>
    <mergeCell ref="M125:M126"/>
    <mergeCell ref="B135:M135"/>
    <mergeCell ref="B137:M137"/>
    <mergeCell ref="B138:M138"/>
    <mergeCell ref="B139:M139"/>
    <mergeCell ref="R119:R120"/>
    <mergeCell ref="A125:A126"/>
    <mergeCell ref="B125:B126"/>
    <mergeCell ref="E125:E126"/>
    <mergeCell ref="F125:F126"/>
    <mergeCell ref="G125:G126"/>
    <mergeCell ref="H125:H126"/>
    <mergeCell ref="I125:I126"/>
    <mergeCell ref="J125:J126"/>
    <mergeCell ref="K125:K126"/>
    <mergeCell ref="K119:K120"/>
    <mergeCell ref="L119:L120"/>
    <mergeCell ref="M119:M120"/>
    <mergeCell ref="N119:N120"/>
    <mergeCell ref="P119:P120"/>
    <mergeCell ref="Q119:Q120"/>
    <mergeCell ref="N117:N118"/>
    <mergeCell ref="O117:O118"/>
    <mergeCell ref="P117:P118"/>
    <mergeCell ref="Q117:Q118"/>
    <mergeCell ref="R117:R118"/>
    <mergeCell ref="C119:C120"/>
    <mergeCell ref="D119:D120"/>
    <mergeCell ref="H119:H120"/>
    <mergeCell ref="I119:I120"/>
    <mergeCell ref="J119:J120"/>
    <mergeCell ref="B115:M115"/>
    <mergeCell ref="A117:A120"/>
    <mergeCell ref="B117:B120"/>
    <mergeCell ref="D117:D118"/>
    <mergeCell ref="E117:E118"/>
    <mergeCell ref="F117:F118"/>
    <mergeCell ref="G117:G118"/>
    <mergeCell ref="H117:H118"/>
    <mergeCell ref="I117:I118"/>
    <mergeCell ref="J117:J118"/>
    <mergeCell ref="O97:O98"/>
    <mergeCell ref="P97:P98"/>
    <mergeCell ref="Q97:Q98"/>
    <mergeCell ref="R97:R98"/>
    <mergeCell ref="A99:A100"/>
    <mergeCell ref="B99:B100"/>
    <mergeCell ref="E99:E100"/>
    <mergeCell ref="F99:F100"/>
    <mergeCell ref="G99:G100"/>
    <mergeCell ref="I99:I100"/>
    <mergeCell ref="J88:J89"/>
    <mergeCell ref="A97:A98"/>
    <mergeCell ref="B97:B98"/>
    <mergeCell ref="D97:D98"/>
    <mergeCell ref="E97:E98"/>
    <mergeCell ref="F97:F98"/>
    <mergeCell ref="G97:G98"/>
    <mergeCell ref="A88:A89"/>
    <mergeCell ref="B88:B89"/>
    <mergeCell ref="R85:R87"/>
    <mergeCell ref="C86:C87"/>
    <mergeCell ref="H86:H87"/>
    <mergeCell ref="I86:I87"/>
    <mergeCell ref="J86:J87"/>
    <mergeCell ref="K86:K87"/>
    <mergeCell ref="K82:K84"/>
    <mergeCell ref="N85:N87"/>
    <mergeCell ref="O85:O87"/>
    <mergeCell ref="L82:L84"/>
    <mergeCell ref="M82:M84"/>
    <mergeCell ref="E88:E89"/>
    <mergeCell ref="F88:F89"/>
    <mergeCell ref="G88:G89"/>
    <mergeCell ref="H88:H89"/>
    <mergeCell ref="I88:I89"/>
    <mergeCell ref="A85:A87"/>
    <mergeCell ref="B85:B87"/>
    <mergeCell ref="D85:D87"/>
    <mergeCell ref="M76:M77"/>
    <mergeCell ref="A82:A84"/>
    <mergeCell ref="B82:B84"/>
    <mergeCell ref="H82:H84"/>
    <mergeCell ref="I82:I84"/>
    <mergeCell ref="J82:J84"/>
    <mergeCell ref="L86:L87"/>
    <mergeCell ref="E83:E84"/>
    <mergeCell ref="F83:F84"/>
    <mergeCell ref="C76:C77"/>
    <mergeCell ref="H76:H77"/>
    <mergeCell ref="I76:I77"/>
    <mergeCell ref="J76:J77"/>
    <mergeCell ref="G83:G84"/>
    <mergeCell ref="Q242:Q243"/>
    <mergeCell ref="R242:R243"/>
    <mergeCell ref="N75:N77"/>
    <mergeCell ref="O75:O77"/>
    <mergeCell ref="P75:P77"/>
    <mergeCell ref="Q75:Q77"/>
    <mergeCell ref="R75:R77"/>
    <mergeCell ref="Q82:Q84"/>
    <mergeCell ref="P85:P87"/>
    <mergeCell ref="N97:N98"/>
    <mergeCell ref="R82:R84"/>
    <mergeCell ref="Q85:Q87"/>
    <mergeCell ref="P70:P73"/>
    <mergeCell ref="Q70:Q73"/>
    <mergeCell ref="R70:R73"/>
    <mergeCell ref="K71:K73"/>
    <mergeCell ref="L71:L73"/>
    <mergeCell ref="M71:M73"/>
    <mergeCell ref="K76:K77"/>
    <mergeCell ref="L76:L77"/>
    <mergeCell ref="N70:N73"/>
    <mergeCell ref="O70:O73"/>
    <mergeCell ref="C72:C73"/>
    <mergeCell ref="H72:H73"/>
    <mergeCell ref="I72:I73"/>
    <mergeCell ref="J72:J73"/>
    <mergeCell ref="P56:P57"/>
    <mergeCell ref="Q56:Q57"/>
    <mergeCell ref="R56:R57"/>
    <mergeCell ref="B67:M67"/>
    <mergeCell ref="B68:M68"/>
    <mergeCell ref="B69:M69"/>
    <mergeCell ref="N242:N243"/>
    <mergeCell ref="O242:O243"/>
    <mergeCell ref="P242:P243"/>
    <mergeCell ref="B54:M54"/>
    <mergeCell ref="B55:M55"/>
    <mergeCell ref="A56:A57"/>
    <mergeCell ref="B56:B57"/>
    <mergeCell ref="D56:D57"/>
    <mergeCell ref="E56:E57"/>
    <mergeCell ref="F56:F57"/>
    <mergeCell ref="K222:K224"/>
    <mergeCell ref="L222:L224"/>
    <mergeCell ref="M222:M224"/>
    <mergeCell ref="A242:A243"/>
    <mergeCell ref="B242:B243"/>
    <mergeCell ref="D242:D243"/>
    <mergeCell ref="I222:I224"/>
    <mergeCell ref="J222:J224"/>
    <mergeCell ref="H237:H239"/>
    <mergeCell ref="I237:I239"/>
    <mergeCell ref="N49:N50"/>
    <mergeCell ref="O49:O50"/>
    <mergeCell ref="P49:P50"/>
    <mergeCell ref="Q49:Q50"/>
    <mergeCell ref="R49:R50"/>
    <mergeCell ref="K203:K207"/>
    <mergeCell ref="L203:L207"/>
    <mergeCell ref="M203:M207"/>
    <mergeCell ref="N56:N57"/>
    <mergeCell ref="O56:O57"/>
    <mergeCell ref="J45:J47"/>
    <mergeCell ref="B48:M48"/>
    <mergeCell ref="E49:E50"/>
    <mergeCell ref="F49:F50"/>
    <mergeCell ref="G49:G50"/>
    <mergeCell ref="H49:H50"/>
    <mergeCell ref="I49:I50"/>
    <mergeCell ref="J49:J50"/>
    <mergeCell ref="B49:B50"/>
    <mergeCell ref="R42:R43"/>
    <mergeCell ref="B44:M44"/>
    <mergeCell ref="A45:A47"/>
    <mergeCell ref="B45:B47"/>
    <mergeCell ref="D45:D47"/>
    <mergeCell ref="E45:E47"/>
    <mergeCell ref="F45:F47"/>
    <mergeCell ref="G45:G47"/>
    <mergeCell ref="H45:H47"/>
    <mergeCell ref="I45:I47"/>
    <mergeCell ref="I42:I43"/>
    <mergeCell ref="J42:J43"/>
    <mergeCell ref="N42:N43"/>
    <mergeCell ref="O42:O43"/>
    <mergeCell ref="P42:P43"/>
    <mergeCell ref="Q42:Q43"/>
    <mergeCell ref="B42:B43"/>
    <mergeCell ref="D42:D43"/>
    <mergeCell ref="E42:E43"/>
    <mergeCell ref="F42:F43"/>
    <mergeCell ref="G42:G43"/>
    <mergeCell ref="H42:H43"/>
    <mergeCell ref="N37:N39"/>
    <mergeCell ref="O37:O39"/>
    <mergeCell ref="P37:P39"/>
    <mergeCell ref="Q37:Q39"/>
    <mergeCell ref="R37:R39"/>
    <mergeCell ref="B41:M41"/>
    <mergeCell ref="B35:M35"/>
    <mergeCell ref="B36:M36"/>
    <mergeCell ref="A37:A39"/>
    <mergeCell ref="B37:B39"/>
    <mergeCell ref="D37:D39"/>
    <mergeCell ref="K37:K39"/>
    <mergeCell ref="L37:L39"/>
    <mergeCell ref="M37:M39"/>
    <mergeCell ref="P30:P32"/>
    <mergeCell ref="Q30:Q32"/>
    <mergeCell ref="R30:R32"/>
    <mergeCell ref="C31:C32"/>
    <mergeCell ref="H31:H32"/>
    <mergeCell ref="I31:I32"/>
    <mergeCell ref="J31:J32"/>
    <mergeCell ref="K31:K32"/>
    <mergeCell ref="L31:L32"/>
    <mergeCell ref="M31:M32"/>
    <mergeCell ref="B29:M29"/>
    <mergeCell ref="A30:A32"/>
    <mergeCell ref="B30:B32"/>
    <mergeCell ref="D30:D32"/>
    <mergeCell ref="N30:N32"/>
    <mergeCell ref="O30:O32"/>
    <mergeCell ref="N23:N26"/>
    <mergeCell ref="O23:O26"/>
    <mergeCell ref="P23:P26"/>
    <mergeCell ref="Q23:Q26"/>
    <mergeCell ref="R23:R26"/>
    <mergeCell ref="B27:M27"/>
    <mergeCell ref="B22:M22"/>
    <mergeCell ref="A23:A26"/>
    <mergeCell ref="B23:B26"/>
    <mergeCell ref="D23:D26"/>
    <mergeCell ref="K23:K26"/>
    <mergeCell ref="L23:L26"/>
    <mergeCell ref="M23:M26"/>
    <mergeCell ref="R19:R21"/>
    <mergeCell ref="C20:C21"/>
    <mergeCell ref="D20:D21"/>
    <mergeCell ref="H20:H21"/>
    <mergeCell ref="I20:I21"/>
    <mergeCell ref="J20:J21"/>
    <mergeCell ref="K20:K21"/>
    <mergeCell ref="L20:L21"/>
    <mergeCell ref="M20:M21"/>
    <mergeCell ref="A19:A21"/>
    <mergeCell ref="B19:B21"/>
    <mergeCell ref="N19:N21"/>
    <mergeCell ref="O19:O21"/>
    <mergeCell ref="P19:P21"/>
    <mergeCell ref="Q19:Q21"/>
    <mergeCell ref="R14:R15"/>
    <mergeCell ref="C15:C16"/>
    <mergeCell ref="H15:H16"/>
    <mergeCell ref="I15:I16"/>
    <mergeCell ref="J15:J16"/>
    <mergeCell ref="B18:M18"/>
    <mergeCell ref="A14:A16"/>
    <mergeCell ref="D14:D16"/>
    <mergeCell ref="N14:N15"/>
    <mergeCell ref="O14:O15"/>
    <mergeCell ref="P14:P15"/>
    <mergeCell ref="Q14:Q15"/>
    <mergeCell ref="R9:R11"/>
    <mergeCell ref="D10:D11"/>
    <mergeCell ref="N10:N11"/>
    <mergeCell ref="P10:P11"/>
    <mergeCell ref="C11:C12"/>
    <mergeCell ref="H11:H12"/>
    <mergeCell ref="I11:I12"/>
    <mergeCell ref="J11:J12"/>
    <mergeCell ref="K11:K12"/>
    <mergeCell ref="L11:L12"/>
    <mergeCell ref="I9:I10"/>
    <mergeCell ref="J9:J10"/>
    <mergeCell ref="K9:K10"/>
    <mergeCell ref="L9:L10"/>
    <mergeCell ref="M9:M10"/>
    <mergeCell ref="Q9:Q11"/>
    <mergeCell ref="M11:M12"/>
    <mergeCell ref="Q2:R2"/>
    <mergeCell ref="B5:M5"/>
    <mergeCell ref="B6:M6"/>
    <mergeCell ref="B7:M7"/>
    <mergeCell ref="A9:A12"/>
    <mergeCell ref="B9:B10"/>
    <mergeCell ref="E9:E10"/>
    <mergeCell ref="F9:F10"/>
    <mergeCell ref="G9:G10"/>
    <mergeCell ref="H9:H10"/>
    <mergeCell ref="H99:H100"/>
    <mergeCell ref="J99:J100"/>
    <mergeCell ref="A1:Q1"/>
    <mergeCell ref="A2:B3"/>
    <mergeCell ref="D2:D3"/>
    <mergeCell ref="E2:G2"/>
    <mergeCell ref="H2:J2"/>
    <mergeCell ref="K2:M2"/>
    <mergeCell ref="N2:O2"/>
    <mergeCell ref="P2:P3"/>
    <mergeCell ref="A358:A364"/>
    <mergeCell ref="E358:E364"/>
    <mergeCell ref="L99:L100"/>
    <mergeCell ref="M99:M100"/>
    <mergeCell ref="E163:E165"/>
    <mergeCell ref="F163:F165"/>
    <mergeCell ref="G163:G165"/>
    <mergeCell ref="H163:H165"/>
    <mergeCell ref="I163:I165"/>
    <mergeCell ref="J163:J165"/>
    <mergeCell ref="B402:B403"/>
    <mergeCell ref="A402:A403"/>
    <mergeCell ref="D402:D403"/>
    <mergeCell ref="H402:H403"/>
    <mergeCell ref="I402:I403"/>
    <mergeCell ref="J402:J403"/>
    <mergeCell ref="L88:L89"/>
    <mergeCell ref="M88:M89"/>
    <mergeCell ref="G56:G57"/>
    <mergeCell ref="H56:H57"/>
    <mergeCell ref="I56:I57"/>
    <mergeCell ref="J56:J57"/>
    <mergeCell ref="H70:H71"/>
    <mergeCell ref="I70:I71"/>
    <mergeCell ref="J70:J71"/>
    <mergeCell ref="M86:M87"/>
    <mergeCell ref="A49:A50"/>
    <mergeCell ref="D49:D50"/>
    <mergeCell ref="K88:K89"/>
    <mergeCell ref="C70:C71"/>
    <mergeCell ref="J350:J356"/>
    <mergeCell ref="K350:K356"/>
    <mergeCell ref="K99:K100"/>
    <mergeCell ref="H343:H344"/>
    <mergeCell ref="I343:I344"/>
    <mergeCell ref="J343:J344"/>
    <mergeCell ref="A343:A344"/>
    <mergeCell ref="D343:D344"/>
    <mergeCell ref="E343:E344"/>
    <mergeCell ref="F343:F344"/>
    <mergeCell ref="G343:G344"/>
    <mergeCell ref="N343:N344"/>
    <mergeCell ref="O343:O344"/>
    <mergeCell ref="P343:P344"/>
    <mergeCell ref="Q343:Q344"/>
    <mergeCell ref="R343:R344"/>
    <mergeCell ref="E402:E403"/>
    <mergeCell ref="F402:F403"/>
    <mergeCell ref="G402:G403"/>
    <mergeCell ref="L350:L356"/>
    <mergeCell ref="M350:M356"/>
    <mergeCell ref="F358:F364"/>
  </mergeCells>
  <dataValidations count="2">
    <dataValidation type="decimal" operator="greaterThan" allowBlank="1" showInputMessage="1" showErrorMessage="1" promptTitle="Проверка корректности" prompt="Введите число" errorTitle="Введите число!" error="Введите число!" sqref="N318:R318 N231:R231 N342:R346 Q144:R144 N135:O140 Q124:R135 P135:P136 N141:P141 P137:R137 P143:P147 P138:P140 Q139:R139 Q115:R115 N121:P134 N114:O116 N149:Q150 N117:N119 O117 O119 R148:R150 P148:Q148 N143:O148 N212:P216 P244:P269 N232:N242 O240:O242 O232:O237 P232:P234 P236:P242 N219:P222 N244:N269 O244:O259 O265:O269 N203:R211 N217:R218 P197:R197 N182:N197 O182:O194 P182:P196 N181:R181 Q169:R169 N178:P180 Q192:R192 N198:P202 Q178:R178 O196:O197 P173:P176 N174:O176 O163:P172 O157:P161 N157:N172 N151:R152 N153:P155 N156:R156 Q154:R154 O162:R162 Q164:R165 N397:P399 N347:P350 N369:R369 N370:P382 N384:O389 N390:P392 N393:R393 N394:P394 Q391:R391 P384:P387 P388:R388 Q375:R380 N366:R366 N357:P365 N396:R396 N225:R225 N400:R404 N302:R302 N6:R7 N96:P97 P99:P119 P65 N99:O101 Q90:R90 Q92:R92 N88:P94 N95 N78:O85 P78:P82 O54:O56 P55:R55 P56:P59 O58:O59 N69:R69 N70:P70 N74:P75 N54:N59 N53:O53 O51 P53:P54 P85 P49:P51 N48:N51">
      <formula1>-100000000000</formula1>
    </dataValidation>
    <dataValidation type="decimal" operator="greaterThan" allowBlank="1" showInputMessage="1" showErrorMessage="1" promptTitle="Проверка корректности" prompt="Введите число" errorTitle="Введите число!" error="Введите число!" sqref="P48:R48 Q29:R29 P12 N8:P9 P22 P23:R26 N5:P5 N17:P17 N19:P19 N13:P14 N11:O12 N18:R18 N36:R36 O27:P29 N40:P40 N37:P37 N33:P35 N30:P30 N45:P47 N22:N29 O22:O23 N44:R44 N41:R42 O48:O49 N60:P64 N66:P68">
      <formula1>-100000000000</formula1>
    </dataValidation>
  </dataValidations>
  <printOptions/>
  <pageMargins left="0.1968503937007874" right="0" top="0.5511811023622047" bottom="0.1968503937007874" header="0.15748031496062992" footer="0.15748031496062992"/>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W254"/>
  <sheetViews>
    <sheetView zoomScalePageLayoutView="0" workbookViewId="0" topLeftCell="A1">
      <pane xSplit="4" ySplit="2" topLeftCell="E246" activePane="bottomRight" state="frozen"/>
      <selection pane="topLeft" activeCell="A1" sqref="A1"/>
      <selection pane="topRight" activeCell="E1" sqref="E1"/>
      <selection pane="bottomLeft" activeCell="A3" sqref="A3"/>
      <selection pane="bottomRight" activeCell="C236" sqref="A236:IV238"/>
    </sheetView>
  </sheetViews>
  <sheetFormatPr defaultColWidth="9.00390625" defaultRowHeight="12.75" outlineLevelRow="1" outlineLevelCol="1"/>
  <cols>
    <col min="1" max="1" width="3.75390625" style="5" customWidth="1"/>
    <col min="2" max="2" width="30.625" style="5" customWidth="1"/>
    <col min="3" max="3" width="0.12890625" style="5" hidden="1" customWidth="1"/>
    <col min="4" max="4" width="3.125" style="5" customWidth="1"/>
    <col min="5" max="5" width="81.375" style="5" customWidth="1"/>
    <col min="6" max="6" width="6.00390625" style="5" customWidth="1" outlineLevel="1"/>
    <col min="7" max="7" width="8.875" style="5" customWidth="1" outlineLevel="1"/>
    <col min="8" max="8" width="8.875" style="5" customWidth="1"/>
    <col min="9" max="13" width="9.125" style="170" customWidth="1"/>
    <col min="14" max="16384" width="9.125" style="152" customWidth="1"/>
  </cols>
  <sheetData>
    <row r="1" spans="1:8" s="170" customFormat="1" ht="37.5" customHeight="1">
      <c r="A1" s="223" t="s">
        <v>1129</v>
      </c>
      <c r="B1" s="223"/>
      <c r="C1" s="223"/>
      <c r="D1" s="223"/>
      <c r="E1" s="223"/>
      <c r="F1" s="223"/>
      <c r="G1" s="223"/>
      <c r="H1" s="223"/>
    </row>
    <row r="2" spans="1:8" s="153" customFormat="1" ht="42" customHeight="1">
      <c r="A2" s="224" t="s">
        <v>192</v>
      </c>
      <c r="B2" s="224"/>
      <c r="C2" s="22"/>
      <c r="D2" s="224" t="s">
        <v>139</v>
      </c>
      <c r="E2" s="224" t="s">
        <v>120</v>
      </c>
      <c r="F2" s="224"/>
      <c r="G2" s="224"/>
      <c r="H2" s="224" t="s">
        <v>1132</v>
      </c>
    </row>
    <row r="3" spans="1:8" s="153" customFormat="1" ht="65.25" customHeight="1">
      <c r="A3" s="224"/>
      <c r="B3" s="224"/>
      <c r="C3" s="22"/>
      <c r="D3" s="224"/>
      <c r="E3" s="10" t="s">
        <v>122</v>
      </c>
      <c r="F3" s="10" t="s">
        <v>206</v>
      </c>
      <c r="G3" s="10" t="s">
        <v>311</v>
      </c>
      <c r="H3" s="224"/>
    </row>
    <row r="4" spans="1:8" s="153" customFormat="1" ht="12.75" customHeight="1">
      <c r="A4" s="10" t="s">
        <v>204</v>
      </c>
      <c r="B4" s="10"/>
      <c r="C4" s="10" t="s">
        <v>205</v>
      </c>
      <c r="D4" s="10" t="s">
        <v>90</v>
      </c>
      <c r="E4" s="10" t="s">
        <v>97</v>
      </c>
      <c r="F4" s="10" t="s">
        <v>98</v>
      </c>
      <c r="G4" s="10" t="s">
        <v>99</v>
      </c>
      <c r="H4" s="10" t="s">
        <v>74</v>
      </c>
    </row>
    <row r="5" spans="1:8" s="153" customFormat="1" ht="12.75" customHeight="1">
      <c r="A5" s="34" t="s">
        <v>251</v>
      </c>
      <c r="B5" s="227" t="s">
        <v>252</v>
      </c>
      <c r="C5" s="228"/>
      <c r="D5" s="228"/>
      <c r="E5" s="228"/>
      <c r="F5" s="228"/>
      <c r="G5" s="229"/>
      <c r="H5" s="13"/>
    </row>
    <row r="6" spans="1:8" s="153" customFormat="1" ht="11.25" customHeight="1">
      <c r="A6" s="34" t="s">
        <v>0</v>
      </c>
      <c r="B6" s="227" t="s">
        <v>274</v>
      </c>
      <c r="C6" s="228"/>
      <c r="D6" s="228"/>
      <c r="E6" s="228"/>
      <c r="F6" s="228"/>
      <c r="G6" s="229"/>
      <c r="H6" s="46">
        <f>H7+H18+H22+H26+H27+H33+H38+H41+H43+H50+H57+H92+H102+H104+H108+H112+H114+H118+H116+H121+H123+H132+H137+H142</f>
        <v>451383.41300000006</v>
      </c>
    </row>
    <row r="7" spans="1:8" s="153" customFormat="1" ht="12" customHeight="1">
      <c r="A7" s="34" t="s">
        <v>25</v>
      </c>
      <c r="B7" s="227" t="s">
        <v>209</v>
      </c>
      <c r="C7" s="228"/>
      <c r="D7" s="228"/>
      <c r="E7" s="228"/>
      <c r="F7" s="228"/>
      <c r="G7" s="229"/>
      <c r="H7" s="46">
        <f>SUM(H8:H17)</f>
        <v>79133.06242000002</v>
      </c>
    </row>
    <row r="8" spans="1:8" s="154" customFormat="1" ht="24" customHeight="1">
      <c r="A8" s="35"/>
      <c r="B8" s="7" t="s">
        <v>268</v>
      </c>
      <c r="C8" s="8"/>
      <c r="D8" s="40" t="s">
        <v>269</v>
      </c>
      <c r="E8" s="178" t="s">
        <v>588</v>
      </c>
      <c r="F8" s="3"/>
      <c r="G8" s="3"/>
      <c r="H8" s="47">
        <v>2450</v>
      </c>
    </row>
    <row r="9" spans="1:8" s="154" customFormat="1" ht="24" customHeight="1">
      <c r="A9" s="197"/>
      <c r="B9" s="231" t="s">
        <v>176</v>
      </c>
      <c r="C9" s="8"/>
      <c r="D9" s="41" t="s">
        <v>111</v>
      </c>
      <c r="E9" s="312" t="s">
        <v>63</v>
      </c>
      <c r="F9" s="188" t="s">
        <v>19</v>
      </c>
      <c r="G9" s="188" t="s">
        <v>20</v>
      </c>
      <c r="H9" s="142">
        <v>2642.8</v>
      </c>
    </row>
    <row r="10" spans="1:8" s="154" customFormat="1" ht="14.25" customHeight="1">
      <c r="A10" s="198"/>
      <c r="B10" s="232"/>
      <c r="C10" s="8"/>
      <c r="D10" s="200" t="s">
        <v>177</v>
      </c>
      <c r="E10" s="310"/>
      <c r="F10" s="202"/>
      <c r="G10" s="202"/>
      <c r="H10" s="235">
        <v>47647</v>
      </c>
    </row>
    <row r="11" spans="1:8" s="154" customFormat="1" ht="54.75" customHeight="1">
      <c r="A11" s="198"/>
      <c r="B11" s="65"/>
      <c r="C11" s="236"/>
      <c r="D11" s="200"/>
      <c r="E11" s="310" t="s">
        <v>680</v>
      </c>
      <c r="F11" s="202" t="s">
        <v>213</v>
      </c>
      <c r="G11" s="202" t="s">
        <v>27</v>
      </c>
      <c r="H11" s="235"/>
    </row>
    <row r="12" spans="1:8" s="154" customFormat="1" ht="54.75" customHeight="1">
      <c r="A12" s="230"/>
      <c r="B12" s="16"/>
      <c r="C12" s="237"/>
      <c r="D12" s="44" t="s">
        <v>278</v>
      </c>
      <c r="E12" s="311"/>
      <c r="F12" s="189"/>
      <c r="G12" s="189"/>
      <c r="H12" s="50">
        <v>470.4</v>
      </c>
    </row>
    <row r="13" spans="1:8" s="154" customFormat="1" ht="37.5" customHeight="1">
      <c r="A13" s="35"/>
      <c r="B13" s="7" t="s">
        <v>2</v>
      </c>
      <c r="C13" s="8"/>
      <c r="D13" s="40" t="s">
        <v>278</v>
      </c>
      <c r="E13" s="178" t="s">
        <v>14</v>
      </c>
      <c r="F13" s="3" t="s">
        <v>178</v>
      </c>
      <c r="G13" s="3" t="s">
        <v>80</v>
      </c>
      <c r="H13" s="47">
        <v>160.4</v>
      </c>
    </row>
    <row r="14" spans="1:8" s="154" customFormat="1" ht="75" customHeight="1">
      <c r="A14" s="197"/>
      <c r="B14" s="21" t="s">
        <v>266</v>
      </c>
      <c r="C14" s="15"/>
      <c r="D14" s="199" t="s">
        <v>4</v>
      </c>
      <c r="E14" s="179" t="s">
        <v>1038</v>
      </c>
      <c r="F14" s="17" t="s">
        <v>185</v>
      </c>
      <c r="G14" s="17" t="s">
        <v>186</v>
      </c>
      <c r="H14" s="240">
        <v>15565.6</v>
      </c>
    </row>
    <row r="15" spans="1:8" s="154" customFormat="1" ht="49.5" customHeight="1">
      <c r="A15" s="198"/>
      <c r="B15" s="65"/>
      <c r="C15" s="244"/>
      <c r="D15" s="200"/>
      <c r="E15" s="180" t="s">
        <v>593</v>
      </c>
      <c r="F15" s="18" t="s">
        <v>62</v>
      </c>
      <c r="G15" s="18" t="s">
        <v>592</v>
      </c>
      <c r="H15" s="241"/>
    </row>
    <row r="16" spans="1:8" s="154" customFormat="1" ht="106.5" customHeight="1">
      <c r="A16" s="230"/>
      <c r="B16" s="16"/>
      <c r="C16" s="237"/>
      <c r="D16" s="239"/>
      <c r="E16" s="180" t="s">
        <v>511</v>
      </c>
      <c r="F16" s="18" t="s">
        <v>213</v>
      </c>
      <c r="G16" s="18" t="s">
        <v>27</v>
      </c>
      <c r="H16" s="129"/>
    </row>
    <row r="17" spans="1:8" s="154" customFormat="1" ht="38.25" customHeight="1">
      <c r="A17" s="35"/>
      <c r="B17" s="8" t="s">
        <v>257</v>
      </c>
      <c r="C17" s="8"/>
      <c r="D17" s="40" t="s">
        <v>279</v>
      </c>
      <c r="E17" s="178" t="s">
        <v>657</v>
      </c>
      <c r="F17" s="3" t="s">
        <v>21</v>
      </c>
      <c r="G17" s="3" t="s">
        <v>589</v>
      </c>
      <c r="H17" s="47">
        <v>10196.86242</v>
      </c>
    </row>
    <row r="18" spans="1:8" s="153" customFormat="1" ht="26.25" customHeight="1">
      <c r="A18" s="34" t="s">
        <v>112</v>
      </c>
      <c r="B18" s="227" t="s">
        <v>778</v>
      </c>
      <c r="C18" s="228"/>
      <c r="D18" s="228"/>
      <c r="E18" s="228"/>
      <c r="F18" s="228"/>
      <c r="G18" s="229"/>
      <c r="H18" s="46">
        <f>SUM(H19:H21)</f>
        <v>6817.799999999999</v>
      </c>
    </row>
    <row r="19" spans="1:8" s="154" customFormat="1" ht="39.75" customHeight="1">
      <c r="A19" s="211"/>
      <c r="B19" s="231" t="s">
        <v>102</v>
      </c>
      <c r="C19" s="11"/>
      <c r="D19" s="41" t="s">
        <v>278</v>
      </c>
      <c r="E19" s="17" t="s">
        <v>22</v>
      </c>
      <c r="F19" s="17" t="s">
        <v>178</v>
      </c>
      <c r="G19" s="17" t="s">
        <v>218</v>
      </c>
      <c r="H19" s="186">
        <f>3071.1+3746.7</f>
        <v>6817.799999999999</v>
      </c>
    </row>
    <row r="20" spans="1:8" s="154" customFormat="1" ht="55.5" customHeight="1">
      <c r="A20" s="245"/>
      <c r="B20" s="232"/>
      <c r="C20" s="201"/>
      <c r="D20" s="200" t="s">
        <v>278</v>
      </c>
      <c r="E20" s="202" t="s">
        <v>511</v>
      </c>
      <c r="F20" s="202" t="s">
        <v>213</v>
      </c>
      <c r="G20" s="202" t="s">
        <v>27</v>
      </c>
      <c r="H20" s="235"/>
    </row>
    <row r="21" spans="1:8" s="154" customFormat="1" ht="55.5" customHeight="1">
      <c r="A21" s="212"/>
      <c r="B21" s="246"/>
      <c r="C21" s="201"/>
      <c r="D21" s="239"/>
      <c r="E21" s="238"/>
      <c r="F21" s="238"/>
      <c r="G21" s="238"/>
      <c r="H21" s="187"/>
    </row>
    <row r="22" spans="1:8" s="153" customFormat="1" ht="25.5" customHeight="1">
      <c r="A22" s="211" t="s">
        <v>87</v>
      </c>
      <c r="B22" s="248" t="s">
        <v>784</v>
      </c>
      <c r="C22" s="11"/>
      <c r="D22" s="195" t="s">
        <v>130</v>
      </c>
      <c r="E22" s="207" t="s">
        <v>47</v>
      </c>
      <c r="F22" s="207" t="s">
        <v>178</v>
      </c>
      <c r="G22" s="207" t="s">
        <v>113</v>
      </c>
      <c r="H22" s="253">
        <v>2511.5</v>
      </c>
    </row>
    <row r="23" spans="1:8" s="153" customFormat="1" ht="48" customHeight="1">
      <c r="A23" s="245"/>
      <c r="B23" s="249"/>
      <c r="C23" s="11"/>
      <c r="D23" s="251"/>
      <c r="E23" s="252"/>
      <c r="F23" s="252"/>
      <c r="G23" s="252"/>
      <c r="H23" s="254"/>
    </row>
    <row r="24" spans="1:8" s="153" customFormat="1" ht="35.25" customHeight="1">
      <c r="A24" s="245"/>
      <c r="B24" s="249"/>
      <c r="C24" s="11"/>
      <c r="D24" s="251"/>
      <c r="E24" s="252"/>
      <c r="F24" s="252"/>
      <c r="G24" s="252"/>
      <c r="H24" s="254"/>
    </row>
    <row r="25" spans="1:8" s="153" customFormat="1" ht="48" customHeight="1">
      <c r="A25" s="212"/>
      <c r="B25" s="250"/>
      <c r="C25" s="11"/>
      <c r="D25" s="196"/>
      <c r="E25" s="208"/>
      <c r="F25" s="208"/>
      <c r="G25" s="208"/>
      <c r="H25" s="255"/>
    </row>
    <row r="26" spans="1:8" s="155" customFormat="1" ht="97.5" customHeight="1">
      <c r="A26" s="34" t="s">
        <v>31</v>
      </c>
      <c r="B26" s="14" t="s">
        <v>1097</v>
      </c>
      <c r="C26" s="11"/>
      <c r="D26" s="43" t="s">
        <v>177</v>
      </c>
      <c r="E26" s="59" t="s">
        <v>64</v>
      </c>
      <c r="F26" s="59" t="s">
        <v>145</v>
      </c>
      <c r="G26" s="108" t="s">
        <v>27</v>
      </c>
      <c r="H26" s="46">
        <v>826.2</v>
      </c>
    </row>
    <row r="27" spans="1:8" s="153" customFormat="1" ht="16.5" customHeight="1">
      <c r="A27" s="34" t="s">
        <v>36</v>
      </c>
      <c r="B27" s="227" t="s">
        <v>23</v>
      </c>
      <c r="C27" s="228"/>
      <c r="D27" s="228"/>
      <c r="E27" s="228"/>
      <c r="F27" s="228"/>
      <c r="G27" s="229"/>
      <c r="H27" s="46">
        <f>SUM(H28:H32)</f>
        <v>21375.258</v>
      </c>
    </row>
    <row r="28" spans="1:8" s="154" customFormat="1" ht="36.75" customHeight="1">
      <c r="A28" s="197"/>
      <c r="B28" s="231" t="s">
        <v>255</v>
      </c>
      <c r="C28" s="8"/>
      <c r="D28" s="199" t="s">
        <v>256</v>
      </c>
      <c r="E28" s="17" t="s">
        <v>79</v>
      </c>
      <c r="F28" s="17" t="s">
        <v>106</v>
      </c>
      <c r="G28" s="17" t="s">
        <v>27</v>
      </c>
      <c r="H28" s="186">
        <v>16934.2</v>
      </c>
    </row>
    <row r="29" spans="1:8" s="154" customFormat="1" ht="54.75" customHeight="1">
      <c r="A29" s="198"/>
      <c r="B29" s="232"/>
      <c r="C29" s="201"/>
      <c r="D29" s="200"/>
      <c r="E29" s="202" t="s">
        <v>511</v>
      </c>
      <c r="F29" s="202" t="s">
        <v>213</v>
      </c>
      <c r="G29" s="202" t="s">
        <v>27</v>
      </c>
      <c r="H29" s="235"/>
    </row>
    <row r="30" spans="1:8" s="154" customFormat="1" ht="54.75" customHeight="1">
      <c r="A30" s="230"/>
      <c r="B30" s="246"/>
      <c r="C30" s="201"/>
      <c r="D30" s="239"/>
      <c r="E30" s="189"/>
      <c r="F30" s="189"/>
      <c r="G30" s="189"/>
      <c r="H30" s="187"/>
    </row>
    <row r="31" spans="1:8" s="154" customFormat="1" ht="41.25" customHeight="1">
      <c r="A31" s="35"/>
      <c r="B31" s="7" t="s">
        <v>126</v>
      </c>
      <c r="C31" s="8"/>
      <c r="D31" s="40" t="s">
        <v>278</v>
      </c>
      <c r="E31" s="3" t="s">
        <v>127</v>
      </c>
      <c r="F31" s="3" t="s">
        <v>7</v>
      </c>
      <c r="G31" s="3" t="s">
        <v>27</v>
      </c>
      <c r="H31" s="47">
        <v>1063</v>
      </c>
    </row>
    <row r="32" spans="1:8" s="154" customFormat="1" ht="38.25" customHeight="1">
      <c r="A32" s="35"/>
      <c r="B32" s="28" t="s">
        <v>597</v>
      </c>
      <c r="C32" s="8"/>
      <c r="D32" s="40" t="s">
        <v>256</v>
      </c>
      <c r="E32" s="26" t="s">
        <v>598</v>
      </c>
      <c r="F32" s="26" t="s">
        <v>599</v>
      </c>
      <c r="G32" s="26" t="s">
        <v>600</v>
      </c>
      <c r="H32" s="47">
        <v>3378.058</v>
      </c>
    </row>
    <row r="33" spans="1:8" s="155" customFormat="1" ht="14.25" customHeight="1">
      <c r="A33" s="34" t="s">
        <v>8</v>
      </c>
      <c r="B33" s="227" t="s">
        <v>9</v>
      </c>
      <c r="C33" s="228"/>
      <c r="D33" s="228"/>
      <c r="E33" s="228"/>
      <c r="F33" s="228"/>
      <c r="G33" s="229"/>
      <c r="H33" s="46">
        <f>SUM(H34:H37)</f>
        <v>3237.2335</v>
      </c>
    </row>
    <row r="34" spans="1:8" s="155" customFormat="1" ht="21" customHeight="1">
      <c r="A34" s="197"/>
      <c r="B34" s="231" t="s">
        <v>137</v>
      </c>
      <c r="C34" s="8"/>
      <c r="D34" s="199" t="s">
        <v>278</v>
      </c>
      <c r="E34" s="188" t="s">
        <v>681</v>
      </c>
      <c r="F34" s="188" t="s">
        <v>366</v>
      </c>
      <c r="G34" s="188" t="s">
        <v>309</v>
      </c>
      <c r="H34" s="186">
        <v>3237.2335</v>
      </c>
    </row>
    <row r="35" spans="1:8" s="155" customFormat="1" ht="21" customHeight="1">
      <c r="A35" s="198"/>
      <c r="B35" s="232"/>
      <c r="C35" s="8"/>
      <c r="D35" s="200"/>
      <c r="E35" s="202"/>
      <c r="F35" s="202"/>
      <c r="G35" s="202"/>
      <c r="H35" s="235"/>
    </row>
    <row r="36" spans="1:8" s="154" customFormat="1" ht="21" customHeight="1">
      <c r="A36" s="230"/>
      <c r="B36" s="246"/>
      <c r="C36" s="8"/>
      <c r="D36" s="239"/>
      <c r="E36" s="189"/>
      <c r="F36" s="189"/>
      <c r="G36" s="189"/>
      <c r="H36" s="187"/>
    </row>
    <row r="37" spans="1:8" s="155" customFormat="1" ht="78" customHeight="1">
      <c r="A37" s="34"/>
      <c r="B37" s="7" t="s">
        <v>141</v>
      </c>
      <c r="C37" s="11"/>
      <c r="D37" s="40" t="s">
        <v>278</v>
      </c>
      <c r="E37" s="3" t="s">
        <v>290</v>
      </c>
      <c r="F37" s="3" t="s">
        <v>222</v>
      </c>
      <c r="G37" s="3" t="s">
        <v>230</v>
      </c>
      <c r="H37" s="47">
        <v>0</v>
      </c>
    </row>
    <row r="38" spans="1:8" s="153" customFormat="1" ht="12.75" customHeight="1">
      <c r="A38" s="34" t="s">
        <v>253</v>
      </c>
      <c r="B38" s="227" t="s">
        <v>254</v>
      </c>
      <c r="C38" s="228"/>
      <c r="D38" s="228"/>
      <c r="E38" s="228"/>
      <c r="F38" s="228"/>
      <c r="G38" s="229"/>
      <c r="H38" s="46">
        <f>SUM(H39:H40)</f>
        <v>265</v>
      </c>
    </row>
    <row r="39" spans="1:8" s="154" customFormat="1" ht="41.25" customHeight="1">
      <c r="A39" s="36"/>
      <c r="B39" s="231" t="s">
        <v>287</v>
      </c>
      <c r="C39" s="8"/>
      <c r="D39" s="199" t="s">
        <v>12</v>
      </c>
      <c r="E39" s="17" t="s">
        <v>682</v>
      </c>
      <c r="F39" s="17" t="s">
        <v>512</v>
      </c>
      <c r="G39" s="17" t="s">
        <v>454</v>
      </c>
      <c r="H39" s="256">
        <v>265</v>
      </c>
    </row>
    <row r="40" spans="1:8" s="154" customFormat="1" ht="51.75" customHeight="1">
      <c r="A40" s="38"/>
      <c r="B40" s="246"/>
      <c r="C40" s="8"/>
      <c r="D40" s="239"/>
      <c r="E40" s="19" t="s">
        <v>1199</v>
      </c>
      <c r="F40" s="19" t="s">
        <v>222</v>
      </c>
      <c r="G40" s="19" t="s">
        <v>513</v>
      </c>
      <c r="H40" s="257"/>
    </row>
    <row r="41" spans="1:8" s="153" customFormat="1" ht="38.25" customHeight="1">
      <c r="A41" s="34" t="s">
        <v>118</v>
      </c>
      <c r="B41" s="227" t="s">
        <v>1098</v>
      </c>
      <c r="C41" s="228"/>
      <c r="D41" s="228"/>
      <c r="E41" s="228"/>
      <c r="F41" s="228"/>
      <c r="G41" s="229"/>
      <c r="H41" s="46">
        <f>SUM(H42:H42)</f>
        <v>2892.2</v>
      </c>
    </row>
    <row r="42" spans="1:8" s="154" customFormat="1" ht="47.25" customHeight="1">
      <c r="A42" s="174"/>
      <c r="B42" s="21" t="s">
        <v>310</v>
      </c>
      <c r="C42" s="8"/>
      <c r="D42" s="41" t="s">
        <v>224</v>
      </c>
      <c r="E42" s="17" t="s">
        <v>374</v>
      </c>
      <c r="F42" s="17" t="s">
        <v>375</v>
      </c>
      <c r="G42" s="17" t="s">
        <v>376</v>
      </c>
      <c r="H42" s="49">
        <v>2892.2</v>
      </c>
    </row>
    <row r="43" spans="1:8" s="153" customFormat="1" ht="14.25" customHeight="1">
      <c r="A43" s="34" t="s">
        <v>221</v>
      </c>
      <c r="B43" s="227" t="s">
        <v>144</v>
      </c>
      <c r="C43" s="228"/>
      <c r="D43" s="228"/>
      <c r="E43" s="228"/>
      <c r="F43" s="228"/>
      <c r="G43" s="229"/>
      <c r="H43" s="46">
        <f>SUM(H44:H49)</f>
        <v>1907.8</v>
      </c>
    </row>
    <row r="44" spans="1:8" s="154" customFormat="1" ht="30.75" customHeight="1">
      <c r="A44" s="197"/>
      <c r="B44" s="231" t="s">
        <v>377</v>
      </c>
      <c r="C44" s="8"/>
      <c r="D44" s="199" t="s">
        <v>132</v>
      </c>
      <c r="E44" s="24" t="s">
        <v>518</v>
      </c>
      <c r="F44" s="24"/>
      <c r="G44" s="24"/>
      <c r="H44" s="186">
        <v>965.8</v>
      </c>
    </row>
    <row r="45" spans="1:8" s="154" customFormat="1" ht="30.75" customHeight="1">
      <c r="A45" s="230"/>
      <c r="B45" s="246"/>
      <c r="C45" s="8"/>
      <c r="D45" s="239"/>
      <c r="E45" s="81" t="s">
        <v>518</v>
      </c>
      <c r="F45" s="81"/>
      <c r="G45" s="81"/>
      <c r="H45" s="187"/>
    </row>
    <row r="46" spans="1:8" s="154" customFormat="1" ht="27.75" customHeight="1">
      <c r="A46" s="197"/>
      <c r="B46" s="209" t="s">
        <v>1140</v>
      </c>
      <c r="C46" s="8"/>
      <c r="D46" s="199" t="s">
        <v>132</v>
      </c>
      <c r="E46" s="24" t="s">
        <v>1200</v>
      </c>
      <c r="F46" s="24" t="s">
        <v>1141</v>
      </c>
      <c r="G46" s="24" t="s">
        <v>1142</v>
      </c>
      <c r="H46" s="186">
        <v>11.7</v>
      </c>
    </row>
    <row r="47" spans="1:8" s="154" customFormat="1" ht="48.75" customHeight="1">
      <c r="A47" s="230"/>
      <c r="B47" s="210"/>
      <c r="C47" s="8"/>
      <c r="D47" s="239"/>
      <c r="E47" s="25" t="s">
        <v>1201</v>
      </c>
      <c r="F47" s="25" t="s">
        <v>1141</v>
      </c>
      <c r="G47" s="25" t="s">
        <v>1202</v>
      </c>
      <c r="H47" s="187"/>
    </row>
    <row r="48" spans="1:8" s="154" customFormat="1" ht="48" customHeight="1">
      <c r="A48" s="197"/>
      <c r="B48" s="231" t="s">
        <v>277</v>
      </c>
      <c r="C48" s="8"/>
      <c r="D48" s="199" t="s">
        <v>270</v>
      </c>
      <c r="E48" s="17" t="s">
        <v>601</v>
      </c>
      <c r="F48" s="17" t="s">
        <v>323</v>
      </c>
      <c r="G48" s="17" t="s">
        <v>324</v>
      </c>
      <c r="H48" s="186">
        <v>930.3</v>
      </c>
    </row>
    <row r="49" spans="1:8" s="154" customFormat="1" ht="60" customHeight="1">
      <c r="A49" s="230"/>
      <c r="B49" s="246"/>
      <c r="C49" s="8"/>
      <c r="D49" s="239"/>
      <c r="E49" s="19" t="s">
        <v>602</v>
      </c>
      <c r="F49" s="19" t="s">
        <v>173</v>
      </c>
      <c r="G49" s="19" t="s">
        <v>603</v>
      </c>
      <c r="H49" s="187"/>
    </row>
    <row r="50" spans="1:8" s="155" customFormat="1" ht="12" customHeight="1">
      <c r="A50" s="34" t="s">
        <v>211</v>
      </c>
      <c r="B50" s="227" t="s">
        <v>165</v>
      </c>
      <c r="C50" s="228"/>
      <c r="D50" s="228"/>
      <c r="E50" s="228"/>
      <c r="F50" s="228"/>
      <c r="G50" s="229"/>
      <c r="H50" s="46">
        <f>SUM(H51:H56)</f>
        <v>5553.099999999999</v>
      </c>
    </row>
    <row r="51" spans="1:8" s="154" customFormat="1" ht="37.5" customHeight="1">
      <c r="A51" s="197"/>
      <c r="B51" s="231" t="s">
        <v>235</v>
      </c>
      <c r="C51" s="8"/>
      <c r="D51" s="199" t="s">
        <v>135</v>
      </c>
      <c r="E51" s="17" t="s">
        <v>320</v>
      </c>
      <c r="F51" s="17" t="s">
        <v>321</v>
      </c>
      <c r="G51" s="17" t="s">
        <v>322</v>
      </c>
      <c r="H51" s="186">
        <v>123.8</v>
      </c>
    </row>
    <row r="52" spans="1:8" s="154" customFormat="1" ht="47.25" customHeight="1">
      <c r="A52" s="230"/>
      <c r="B52" s="246"/>
      <c r="C52" s="8"/>
      <c r="D52" s="239"/>
      <c r="E52" s="25" t="s">
        <v>743</v>
      </c>
      <c r="F52" s="19" t="s">
        <v>222</v>
      </c>
      <c r="G52" s="19" t="s">
        <v>734</v>
      </c>
      <c r="H52" s="187"/>
    </row>
    <row r="53" spans="1:8" s="154" customFormat="1" ht="40.5" customHeight="1">
      <c r="A53" s="35"/>
      <c r="B53" s="7" t="s">
        <v>365</v>
      </c>
      <c r="C53" s="8"/>
      <c r="D53" s="40" t="s">
        <v>278</v>
      </c>
      <c r="E53" s="3" t="s">
        <v>63</v>
      </c>
      <c r="F53" s="3" t="s">
        <v>19</v>
      </c>
      <c r="G53" s="3" t="s">
        <v>20</v>
      </c>
      <c r="H53" s="58">
        <v>1220.6</v>
      </c>
    </row>
    <row r="54" spans="1:8" s="154" customFormat="1" ht="52.5" customHeight="1">
      <c r="A54" s="35"/>
      <c r="B54" s="7" t="s">
        <v>1183</v>
      </c>
      <c r="C54" s="8"/>
      <c r="D54" s="40" t="s">
        <v>135</v>
      </c>
      <c r="E54" s="3" t="s">
        <v>1222</v>
      </c>
      <c r="F54" s="3" t="s">
        <v>865</v>
      </c>
      <c r="G54" s="3" t="s">
        <v>1223</v>
      </c>
      <c r="H54" s="58">
        <v>1000</v>
      </c>
    </row>
    <row r="55" spans="1:8" s="154" customFormat="1" ht="60.75" customHeight="1">
      <c r="A55" s="35"/>
      <c r="B55" s="7" t="s">
        <v>289</v>
      </c>
      <c r="C55" s="8"/>
      <c r="D55" s="40" t="s">
        <v>270</v>
      </c>
      <c r="E55" s="3" t="s">
        <v>688</v>
      </c>
      <c r="F55" s="3" t="s">
        <v>366</v>
      </c>
      <c r="G55" s="6" t="s">
        <v>309</v>
      </c>
      <c r="H55" s="47">
        <f>1000+508.7</f>
        <v>1508.7</v>
      </c>
    </row>
    <row r="56" spans="1:8" s="154" customFormat="1" ht="74.25" customHeight="1">
      <c r="A56" s="35"/>
      <c r="B56" s="7" t="s">
        <v>1136</v>
      </c>
      <c r="C56" s="8"/>
      <c r="D56" s="40" t="s">
        <v>270</v>
      </c>
      <c r="E56" s="3" t="s">
        <v>518</v>
      </c>
      <c r="F56" s="3"/>
      <c r="G56" s="6"/>
      <c r="H56" s="47">
        <v>1700</v>
      </c>
    </row>
    <row r="57" spans="1:8" s="153" customFormat="1" ht="36" customHeight="1">
      <c r="A57" s="34" t="s">
        <v>88</v>
      </c>
      <c r="B57" s="227" t="s">
        <v>786</v>
      </c>
      <c r="C57" s="228"/>
      <c r="D57" s="228"/>
      <c r="E57" s="228"/>
      <c r="F57" s="228"/>
      <c r="G57" s="229"/>
      <c r="H57" s="46">
        <f>SUM(H58:H91)</f>
        <v>256942.66408000005</v>
      </c>
    </row>
    <row r="58" spans="1:8" s="154" customFormat="1" ht="48" customHeight="1">
      <c r="A58" s="37"/>
      <c r="B58" s="21" t="s">
        <v>199</v>
      </c>
      <c r="C58" s="201"/>
      <c r="D58" s="41" t="s">
        <v>200</v>
      </c>
      <c r="E58" s="17" t="s">
        <v>744</v>
      </c>
      <c r="F58" s="17" t="s">
        <v>151</v>
      </c>
      <c r="G58" s="17" t="s">
        <v>27</v>
      </c>
      <c r="H58" s="186">
        <f>99576.8+473.4</f>
        <v>100050.2</v>
      </c>
    </row>
    <row r="59" spans="1:8" s="154" customFormat="1" ht="37.5" customHeight="1">
      <c r="A59" s="84"/>
      <c r="B59" s="82"/>
      <c r="C59" s="201"/>
      <c r="D59" s="76"/>
      <c r="E59" s="202" t="s">
        <v>511</v>
      </c>
      <c r="F59" s="202" t="s">
        <v>213</v>
      </c>
      <c r="G59" s="202" t="s">
        <v>27</v>
      </c>
      <c r="H59" s="235"/>
    </row>
    <row r="60" spans="1:8" s="154" customFormat="1" ht="37.5" customHeight="1">
      <c r="A60" s="84"/>
      <c r="B60" s="82"/>
      <c r="C60" s="201"/>
      <c r="D60" s="76"/>
      <c r="E60" s="202"/>
      <c r="F60" s="202"/>
      <c r="G60" s="202"/>
      <c r="H60" s="235"/>
    </row>
    <row r="61" spans="1:8" s="154" customFormat="1" ht="37.5" customHeight="1">
      <c r="A61" s="84"/>
      <c r="B61" s="82"/>
      <c r="C61" s="201"/>
      <c r="D61" s="76"/>
      <c r="E61" s="202"/>
      <c r="F61" s="202"/>
      <c r="G61" s="202"/>
      <c r="H61" s="235"/>
    </row>
    <row r="62" spans="1:8" s="154" customFormat="1" ht="40.5" customHeight="1">
      <c r="A62" s="84"/>
      <c r="B62" s="82"/>
      <c r="C62" s="15"/>
      <c r="D62" s="76"/>
      <c r="E62" s="18" t="s">
        <v>158</v>
      </c>
      <c r="F62" s="18" t="s">
        <v>149</v>
      </c>
      <c r="G62" s="18" t="s">
        <v>27</v>
      </c>
      <c r="H62" s="50"/>
    </row>
    <row r="63" spans="1:8" s="154" customFormat="1" ht="21.75" customHeight="1">
      <c r="A63" s="198"/>
      <c r="B63" s="232"/>
      <c r="C63" s="244"/>
      <c r="D63" s="42" t="s">
        <v>200</v>
      </c>
      <c r="E63" s="202" t="s">
        <v>158</v>
      </c>
      <c r="F63" s="202" t="s">
        <v>149</v>
      </c>
      <c r="G63" s="202" t="s">
        <v>27</v>
      </c>
      <c r="H63" s="50"/>
    </row>
    <row r="64" spans="1:8" s="154" customFormat="1" ht="21.75" customHeight="1">
      <c r="A64" s="230"/>
      <c r="B64" s="246"/>
      <c r="C64" s="237"/>
      <c r="D64" s="44" t="s">
        <v>12</v>
      </c>
      <c r="E64" s="189"/>
      <c r="F64" s="189"/>
      <c r="G64" s="189"/>
      <c r="H64" s="54"/>
    </row>
    <row r="65" spans="1:8" s="154" customFormat="1" ht="48.75" customHeight="1">
      <c r="A65" s="37"/>
      <c r="B65" s="231" t="s">
        <v>100</v>
      </c>
      <c r="C65" s="15"/>
      <c r="D65" s="77" t="s">
        <v>12</v>
      </c>
      <c r="E65" s="17" t="s">
        <v>689</v>
      </c>
      <c r="F65" s="17" t="s">
        <v>77</v>
      </c>
      <c r="G65" s="17" t="s">
        <v>113</v>
      </c>
      <c r="H65" s="186">
        <f>51318.76408-7.7-667-10.9+15304.5-47.4</f>
        <v>65890.26408000001</v>
      </c>
    </row>
    <row r="66" spans="1:8" s="154" customFormat="1" ht="27" customHeight="1">
      <c r="A66" s="84"/>
      <c r="B66" s="232"/>
      <c r="C66" s="65"/>
      <c r="D66" s="76"/>
      <c r="E66" s="81" t="s">
        <v>368</v>
      </c>
      <c r="F66" s="81" t="s">
        <v>173</v>
      </c>
      <c r="G66" s="81" t="s">
        <v>369</v>
      </c>
      <c r="H66" s="235"/>
    </row>
    <row r="67" spans="1:8" s="154" customFormat="1" ht="54" customHeight="1">
      <c r="A67" s="84"/>
      <c r="B67" s="82"/>
      <c r="C67" s="244"/>
      <c r="D67" s="76"/>
      <c r="E67" s="202" t="s">
        <v>511</v>
      </c>
      <c r="F67" s="202" t="s">
        <v>213</v>
      </c>
      <c r="G67" s="202" t="s">
        <v>27</v>
      </c>
      <c r="H67" s="235"/>
    </row>
    <row r="68" spans="1:8" s="154" customFormat="1" ht="54" customHeight="1">
      <c r="A68" s="84"/>
      <c r="B68" s="82"/>
      <c r="C68" s="237"/>
      <c r="D68" s="76"/>
      <c r="E68" s="202"/>
      <c r="F68" s="202"/>
      <c r="G68" s="202"/>
      <c r="H68" s="235"/>
    </row>
    <row r="69" spans="1:8" s="154" customFormat="1" ht="35.25" customHeight="1">
      <c r="A69" s="84"/>
      <c r="B69" s="82"/>
      <c r="C69" s="8"/>
      <c r="D69" s="76"/>
      <c r="E69" s="18" t="s">
        <v>167</v>
      </c>
      <c r="F69" s="18" t="s">
        <v>222</v>
      </c>
      <c r="G69" s="18" t="s">
        <v>168</v>
      </c>
      <c r="H69" s="50"/>
    </row>
    <row r="70" spans="1:8" s="154" customFormat="1" ht="59.25" customHeight="1">
      <c r="A70" s="84"/>
      <c r="B70" s="82"/>
      <c r="C70" s="8"/>
      <c r="D70" s="76"/>
      <c r="E70" s="18" t="s">
        <v>627</v>
      </c>
      <c r="F70" s="18" t="s">
        <v>222</v>
      </c>
      <c r="G70" s="18" t="s">
        <v>628</v>
      </c>
      <c r="H70" s="50"/>
    </row>
    <row r="71" spans="1:8" s="154" customFormat="1" ht="48.75" customHeight="1">
      <c r="A71" s="83"/>
      <c r="B71" s="75"/>
      <c r="C71" s="8"/>
      <c r="D71" s="78"/>
      <c r="E71" s="19" t="s">
        <v>514</v>
      </c>
      <c r="F71" s="19" t="s">
        <v>222</v>
      </c>
      <c r="G71" s="19" t="s">
        <v>159</v>
      </c>
      <c r="H71" s="54"/>
    </row>
    <row r="72" spans="1:8" s="154" customFormat="1" ht="73.5" customHeight="1">
      <c r="A72" s="35"/>
      <c r="B72" s="7" t="s">
        <v>483</v>
      </c>
      <c r="C72" s="8"/>
      <c r="D72" s="40" t="s">
        <v>12</v>
      </c>
      <c r="E72" s="3" t="s">
        <v>1090</v>
      </c>
      <c r="F72" s="3" t="s">
        <v>222</v>
      </c>
      <c r="G72" s="6" t="s">
        <v>113</v>
      </c>
      <c r="H72" s="47">
        <v>3243</v>
      </c>
    </row>
    <row r="73" spans="1:8" s="154" customFormat="1" ht="61.5" customHeight="1">
      <c r="A73" s="35"/>
      <c r="B73" s="28" t="s">
        <v>631</v>
      </c>
      <c r="C73" s="8"/>
      <c r="D73" s="41" t="s">
        <v>12</v>
      </c>
      <c r="E73" s="26" t="s">
        <v>629</v>
      </c>
      <c r="F73" s="26" t="s">
        <v>222</v>
      </c>
      <c r="G73" s="61" t="s">
        <v>630</v>
      </c>
      <c r="H73" s="49"/>
    </row>
    <row r="74" spans="1:8" s="154" customFormat="1" ht="28.5" customHeight="1">
      <c r="A74" s="267"/>
      <c r="B74" s="268" t="s">
        <v>243</v>
      </c>
      <c r="C74" s="8"/>
      <c r="D74" s="41" t="s">
        <v>200</v>
      </c>
      <c r="E74" s="269" t="s">
        <v>373</v>
      </c>
      <c r="F74" s="188" t="s">
        <v>366</v>
      </c>
      <c r="G74" s="188" t="s">
        <v>309</v>
      </c>
      <c r="H74" s="142">
        <v>6200</v>
      </c>
    </row>
    <row r="75" spans="1:8" s="154" customFormat="1" ht="28.5" customHeight="1">
      <c r="A75" s="267"/>
      <c r="B75" s="268"/>
      <c r="C75" s="8"/>
      <c r="D75" s="42" t="s">
        <v>12</v>
      </c>
      <c r="E75" s="269"/>
      <c r="F75" s="202"/>
      <c r="G75" s="202"/>
      <c r="H75" s="161">
        <f>7.7+5565</f>
        <v>5572.7</v>
      </c>
    </row>
    <row r="76" spans="1:8" s="154" customFormat="1" ht="28.5" customHeight="1">
      <c r="A76" s="267"/>
      <c r="B76" s="268"/>
      <c r="C76" s="8"/>
      <c r="D76" s="44" t="s">
        <v>12</v>
      </c>
      <c r="E76" s="269"/>
      <c r="F76" s="189"/>
      <c r="G76" s="189"/>
      <c r="H76" s="93">
        <f>1700</f>
        <v>1700</v>
      </c>
    </row>
    <row r="77" spans="1:8" s="154" customFormat="1" ht="39.75" customHeight="1">
      <c r="A77" s="197"/>
      <c r="B77" s="231" t="s">
        <v>107</v>
      </c>
      <c r="C77" s="8"/>
      <c r="D77" s="199" t="s">
        <v>12</v>
      </c>
      <c r="E77" s="17" t="s">
        <v>150</v>
      </c>
      <c r="F77" s="17" t="s">
        <v>151</v>
      </c>
      <c r="G77" s="74" t="s">
        <v>27</v>
      </c>
      <c r="H77" s="186">
        <f>40094.8+373.9</f>
        <v>40468.700000000004</v>
      </c>
    </row>
    <row r="78" spans="1:8" s="154" customFormat="1" ht="60" customHeight="1">
      <c r="A78" s="198"/>
      <c r="B78" s="232"/>
      <c r="C78" s="65"/>
      <c r="D78" s="200"/>
      <c r="E78" s="18" t="s">
        <v>1072</v>
      </c>
      <c r="F78" s="18" t="s">
        <v>222</v>
      </c>
      <c r="G78" s="135" t="s">
        <v>1073</v>
      </c>
      <c r="H78" s="235"/>
    </row>
    <row r="79" spans="1:8" s="154" customFormat="1" ht="54.75" customHeight="1">
      <c r="A79" s="198"/>
      <c r="B79" s="232"/>
      <c r="C79" s="244"/>
      <c r="D79" s="200"/>
      <c r="E79" s="202" t="s">
        <v>511</v>
      </c>
      <c r="F79" s="202" t="s">
        <v>213</v>
      </c>
      <c r="G79" s="202" t="s">
        <v>27</v>
      </c>
      <c r="H79" s="235"/>
    </row>
    <row r="80" spans="1:8" s="154" customFormat="1" ht="54.75" customHeight="1">
      <c r="A80" s="230"/>
      <c r="B80" s="246"/>
      <c r="C80" s="237"/>
      <c r="D80" s="239"/>
      <c r="E80" s="189"/>
      <c r="F80" s="189"/>
      <c r="G80" s="189"/>
      <c r="H80" s="187"/>
    </row>
    <row r="81" spans="1:8" s="154" customFormat="1" ht="38.25" customHeight="1">
      <c r="A81" s="197"/>
      <c r="B81" s="231" t="s">
        <v>6</v>
      </c>
      <c r="C81" s="15"/>
      <c r="D81" s="41" t="s">
        <v>12</v>
      </c>
      <c r="E81" s="17" t="s">
        <v>745</v>
      </c>
      <c r="F81" s="17" t="s">
        <v>222</v>
      </c>
      <c r="G81" s="74" t="s">
        <v>113</v>
      </c>
      <c r="H81" s="186">
        <f>4346+47.4+667+10.9</f>
        <v>5071.299999999999</v>
      </c>
    </row>
    <row r="82" spans="1:8" s="154" customFormat="1" ht="72" customHeight="1">
      <c r="A82" s="230"/>
      <c r="B82" s="246"/>
      <c r="C82" s="16"/>
      <c r="D82" s="44" t="s">
        <v>200</v>
      </c>
      <c r="E82" s="25" t="s">
        <v>1235</v>
      </c>
      <c r="F82" s="25" t="s">
        <v>173</v>
      </c>
      <c r="G82" s="63" t="s">
        <v>530</v>
      </c>
      <c r="H82" s="187"/>
    </row>
    <row r="83" spans="1:8" s="154" customFormat="1" ht="74.25" customHeight="1">
      <c r="A83" s="35"/>
      <c r="B83" s="7" t="s">
        <v>78</v>
      </c>
      <c r="C83" s="8"/>
      <c r="D83" s="40" t="s">
        <v>12</v>
      </c>
      <c r="E83" s="26" t="s">
        <v>1198</v>
      </c>
      <c r="F83" s="26" t="s">
        <v>1141</v>
      </c>
      <c r="G83" s="26" t="s">
        <v>1149</v>
      </c>
      <c r="H83" s="51">
        <v>15680</v>
      </c>
    </row>
    <row r="84" spans="1:8" s="154" customFormat="1" ht="38.25" customHeight="1">
      <c r="A84" s="35"/>
      <c r="B84" s="7" t="s">
        <v>89</v>
      </c>
      <c r="C84" s="8"/>
      <c r="D84" s="40" t="s">
        <v>134</v>
      </c>
      <c r="E84" s="3" t="s">
        <v>1229</v>
      </c>
      <c r="F84" s="3" t="s">
        <v>222</v>
      </c>
      <c r="G84" s="6" t="s">
        <v>229</v>
      </c>
      <c r="H84" s="47">
        <v>1732.2</v>
      </c>
    </row>
    <row r="85" spans="1:8" s="154" customFormat="1" ht="39" customHeight="1">
      <c r="A85" s="35"/>
      <c r="B85" s="7" t="s">
        <v>198</v>
      </c>
      <c r="C85" s="8"/>
      <c r="D85" s="40" t="s">
        <v>134</v>
      </c>
      <c r="E85" s="3" t="s">
        <v>1225</v>
      </c>
      <c r="F85" s="3" t="s">
        <v>222</v>
      </c>
      <c r="G85" s="6" t="s">
        <v>1226</v>
      </c>
      <c r="H85" s="47">
        <v>5275.6</v>
      </c>
    </row>
    <row r="86" spans="1:8" s="154" customFormat="1" ht="40.5" customHeight="1">
      <c r="A86" s="36"/>
      <c r="B86" s="21" t="s">
        <v>455</v>
      </c>
      <c r="C86" s="15"/>
      <c r="D86" s="41" t="s">
        <v>200</v>
      </c>
      <c r="E86" s="24" t="s">
        <v>1196</v>
      </c>
      <c r="F86" s="24" t="s">
        <v>1141</v>
      </c>
      <c r="G86" s="24" t="s">
        <v>1197</v>
      </c>
      <c r="H86" s="49">
        <v>3440.6</v>
      </c>
    </row>
    <row r="87" spans="1:8" s="154" customFormat="1" ht="63" customHeight="1">
      <c r="A87" s="35"/>
      <c r="B87" s="28" t="s">
        <v>632</v>
      </c>
      <c r="C87" s="8"/>
      <c r="D87" s="40" t="s">
        <v>12</v>
      </c>
      <c r="E87" s="26" t="s">
        <v>1224</v>
      </c>
      <c r="F87" s="26" t="s">
        <v>178</v>
      </c>
      <c r="G87" s="26" t="s">
        <v>691</v>
      </c>
      <c r="H87" s="47">
        <v>2000</v>
      </c>
    </row>
    <row r="88" spans="1:8" s="154" customFormat="1" ht="36" customHeight="1">
      <c r="A88" s="197"/>
      <c r="B88" s="209" t="s">
        <v>1145</v>
      </c>
      <c r="C88" s="8"/>
      <c r="D88" s="199" t="s">
        <v>12</v>
      </c>
      <c r="E88" s="24" t="s">
        <v>947</v>
      </c>
      <c r="F88" s="24" t="s">
        <v>7</v>
      </c>
      <c r="G88" s="24" t="s">
        <v>600</v>
      </c>
      <c r="H88" s="186">
        <v>578.1</v>
      </c>
    </row>
    <row r="89" spans="1:8" s="154" customFormat="1" ht="39.75" customHeight="1">
      <c r="A89" s="230"/>
      <c r="B89" s="210"/>
      <c r="C89" s="8"/>
      <c r="D89" s="239"/>
      <c r="E89" s="25" t="s">
        <v>1147</v>
      </c>
      <c r="F89" s="25" t="s">
        <v>1148</v>
      </c>
      <c r="G89" s="25" t="s">
        <v>1149</v>
      </c>
      <c r="H89" s="187"/>
    </row>
    <row r="90" spans="1:8" s="154" customFormat="1" ht="88.5" customHeight="1">
      <c r="A90" s="102"/>
      <c r="B90" s="69" t="s">
        <v>663</v>
      </c>
      <c r="C90" s="15"/>
      <c r="D90" s="42" t="s">
        <v>12</v>
      </c>
      <c r="E90" s="26" t="s">
        <v>1217</v>
      </c>
      <c r="F90" s="26" t="s">
        <v>7</v>
      </c>
      <c r="G90" s="26" t="s">
        <v>530</v>
      </c>
      <c r="H90" s="50">
        <v>40</v>
      </c>
    </row>
    <row r="91" spans="1:8" s="154" customFormat="1" ht="86.25" customHeight="1">
      <c r="A91" s="35"/>
      <c r="B91" s="28" t="s">
        <v>532</v>
      </c>
      <c r="C91" s="8"/>
      <c r="D91" s="40" t="s">
        <v>12</v>
      </c>
      <c r="E91" s="24" t="s">
        <v>535</v>
      </c>
      <c r="F91" s="24" t="s">
        <v>536</v>
      </c>
      <c r="G91" s="24" t="s">
        <v>537</v>
      </c>
      <c r="H91" s="47">
        <v>0</v>
      </c>
    </row>
    <row r="92" spans="1:8" s="153" customFormat="1" ht="37.5" customHeight="1">
      <c r="A92" s="34" t="s">
        <v>30</v>
      </c>
      <c r="B92" s="227" t="s">
        <v>787</v>
      </c>
      <c r="C92" s="228"/>
      <c r="D92" s="228"/>
      <c r="E92" s="228"/>
      <c r="F92" s="228"/>
      <c r="G92" s="229"/>
      <c r="H92" s="46">
        <f>SUM(H93:H101)</f>
        <v>18756</v>
      </c>
    </row>
    <row r="93" spans="1:8" s="154" customFormat="1" ht="48.75" customHeight="1">
      <c r="A93" s="35"/>
      <c r="B93" s="31" t="s">
        <v>371</v>
      </c>
      <c r="C93" s="8"/>
      <c r="D93" s="40" t="s">
        <v>101</v>
      </c>
      <c r="E93" s="3" t="s">
        <v>1211</v>
      </c>
      <c r="F93" s="3" t="s">
        <v>173</v>
      </c>
      <c r="G93" s="6" t="s">
        <v>316</v>
      </c>
      <c r="H93" s="47">
        <v>920</v>
      </c>
    </row>
    <row r="94" spans="1:8" s="154" customFormat="1" ht="39.75" customHeight="1">
      <c r="A94" s="197"/>
      <c r="B94" s="231" t="s">
        <v>519</v>
      </c>
      <c r="C94" s="8"/>
      <c r="D94" s="199" t="s">
        <v>101</v>
      </c>
      <c r="E94" s="17" t="s">
        <v>540</v>
      </c>
      <c r="F94" s="24" t="s">
        <v>77</v>
      </c>
      <c r="G94" s="62" t="s">
        <v>530</v>
      </c>
      <c r="H94" s="186">
        <f>1809+1416.5</f>
        <v>3225.5</v>
      </c>
    </row>
    <row r="95" spans="1:8" s="154" customFormat="1" ht="37.5" customHeight="1">
      <c r="A95" s="198"/>
      <c r="B95" s="232"/>
      <c r="C95" s="8"/>
      <c r="D95" s="200"/>
      <c r="E95" s="81" t="s">
        <v>541</v>
      </c>
      <c r="F95" s="81" t="s">
        <v>222</v>
      </c>
      <c r="G95" s="85" t="s">
        <v>466</v>
      </c>
      <c r="H95" s="235"/>
    </row>
    <row r="96" spans="1:8" s="154" customFormat="1" ht="54.75" customHeight="1">
      <c r="A96" s="198"/>
      <c r="B96" s="232"/>
      <c r="C96" s="201"/>
      <c r="D96" s="200"/>
      <c r="E96" s="202" t="s">
        <v>680</v>
      </c>
      <c r="F96" s="202" t="s">
        <v>213</v>
      </c>
      <c r="G96" s="202" t="s">
        <v>27</v>
      </c>
      <c r="H96" s="235"/>
    </row>
    <row r="97" spans="1:8" s="154" customFormat="1" ht="54.75" customHeight="1">
      <c r="A97" s="230"/>
      <c r="B97" s="246"/>
      <c r="C97" s="201"/>
      <c r="D97" s="239"/>
      <c r="E97" s="189"/>
      <c r="F97" s="189"/>
      <c r="G97" s="189"/>
      <c r="H97" s="187"/>
    </row>
    <row r="98" spans="1:8" s="154" customFormat="1" ht="42.75" customHeight="1">
      <c r="A98" s="35"/>
      <c r="B98" s="7" t="s">
        <v>520</v>
      </c>
      <c r="C98" s="8"/>
      <c r="D98" s="40" t="s">
        <v>101</v>
      </c>
      <c r="E98" s="3" t="s">
        <v>528</v>
      </c>
      <c r="F98" s="3" t="s">
        <v>529</v>
      </c>
      <c r="G98" s="6" t="s">
        <v>530</v>
      </c>
      <c r="H98" s="47">
        <v>214.5</v>
      </c>
    </row>
    <row r="99" spans="1:8" s="154" customFormat="1" ht="39" customHeight="1">
      <c r="A99" s="35"/>
      <c r="B99" s="7" t="s">
        <v>276</v>
      </c>
      <c r="C99" s="8"/>
      <c r="D99" s="40" t="s">
        <v>101</v>
      </c>
      <c r="E99" s="3" t="s">
        <v>315</v>
      </c>
      <c r="F99" s="3" t="s">
        <v>173</v>
      </c>
      <c r="G99" s="6" t="s">
        <v>316</v>
      </c>
      <c r="H99" s="47">
        <v>96</v>
      </c>
    </row>
    <row r="100" spans="1:8" s="154" customFormat="1" ht="83.25" customHeight="1">
      <c r="A100" s="36"/>
      <c r="B100" s="21" t="s">
        <v>488</v>
      </c>
      <c r="C100" s="15"/>
      <c r="D100" s="41" t="s">
        <v>1184</v>
      </c>
      <c r="E100" s="3" t="s">
        <v>539</v>
      </c>
      <c r="F100" s="3" t="s">
        <v>222</v>
      </c>
      <c r="G100" s="6" t="s">
        <v>530</v>
      </c>
      <c r="H100" s="47">
        <f>10440+2000</f>
        <v>12440</v>
      </c>
    </row>
    <row r="101" spans="1:8" s="154" customFormat="1" ht="71.25" customHeight="1">
      <c r="A101" s="35"/>
      <c r="B101" s="7" t="s">
        <v>1022</v>
      </c>
      <c r="C101" s="8"/>
      <c r="D101" s="44" t="s">
        <v>101</v>
      </c>
      <c r="E101" s="26" t="s">
        <v>1096</v>
      </c>
      <c r="F101" s="26" t="s">
        <v>77</v>
      </c>
      <c r="G101" s="61" t="s">
        <v>1085</v>
      </c>
      <c r="H101" s="47">
        <v>1860</v>
      </c>
    </row>
    <row r="102" spans="1:8" s="153" customFormat="1" ht="12.75" customHeight="1">
      <c r="A102" s="34" t="s">
        <v>262</v>
      </c>
      <c r="B102" s="270" t="s">
        <v>194</v>
      </c>
      <c r="C102" s="271"/>
      <c r="D102" s="271"/>
      <c r="E102" s="271"/>
      <c r="F102" s="271"/>
      <c r="G102" s="272"/>
      <c r="H102" s="46">
        <f>SUM(H103:H103)</f>
        <v>2010</v>
      </c>
    </row>
    <row r="103" spans="1:8" s="154" customFormat="1" ht="71.25" customHeight="1">
      <c r="A103" s="35"/>
      <c r="B103" s="7" t="s">
        <v>10</v>
      </c>
      <c r="C103" s="8"/>
      <c r="D103" s="40" t="s">
        <v>11</v>
      </c>
      <c r="E103" s="3" t="s">
        <v>166</v>
      </c>
      <c r="F103" s="3" t="s">
        <v>32</v>
      </c>
      <c r="G103" s="3" t="s">
        <v>140</v>
      </c>
      <c r="H103" s="47">
        <v>2010</v>
      </c>
    </row>
    <row r="104" spans="1:8" s="153" customFormat="1" ht="12.75" customHeight="1">
      <c r="A104" s="34" t="s">
        <v>40</v>
      </c>
      <c r="B104" s="227" t="s">
        <v>86</v>
      </c>
      <c r="C104" s="228"/>
      <c r="D104" s="228"/>
      <c r="E104" s="228"/>
      <c r="F104" s="228"/>
      <c r="G104" s="229"/>
      <c r="H104" s="46">
        <f>SUM(H105:H107)</f>
        <v>2621</v>
      </c>
    </row>
    <row r="105" spans="1:8" s="154" customFormat="1" ht="48.75" customHeight="1">
      <c r="A105" s="197"/>
      <c r="B105" s="231" t="s">
        <v>469</v>
      </c>
      <c r="C105" s="8"/>
      <c r="D105" s="41" t="s">
        <v>278</v>
      </c>
      <c r="E105" s="17" t="s">
        <v>259</v>
      </c>
      <c r="F105" s="17" t="s">
        <v>242</v>
      </c>
      <c r="G105" s="17" t="s">
        <v>27</v>
      </c>
      <c r="H105" s="49">
        <f>2526+95</f>
        <v>2621</v>
      </c>
    </row>
    <row r="106" spans="1:8" s="154" customFormat="1" ht="54" customHeight="1">
      <c r="A106" s="198"/>
      <c r="B106" s="232"/>
      <c r="C106" s="201"/>
      <c r="D106" s="200"/>
      <c r="E106" s="202" t="s">
        <v>511</v>
      </c>
      <c r="F106" s="202" t="s">
        <v>213</v>
      </c>
      <c r="G106" s="202" t="s">
        <v>27</v>
      </c>
      <c r="H106" s="235"/>
    </row>
    <row r="107" spans="1:8" s="154" customFormat="1" ht="54" customHeight="1">
      <c r="A107" s="230"/>
      <c r="B107" s="246"/>
      <c r="C107" s="201"/>
      <c r="D107" s="239"/>
      <c r="E107" s="189"/>
      <c r="F107" s="189"/>
      <c r="G107" s="189"/>
      <c r="H107" s="187"/>
    </row>
    <row r="108" spans="1:8" s="153" customFormat="1" ht="12.75" customHeight="1">
      <c r="A108" s="34" t="s">
        <v>51</v>
      </c>
      <c r="B108" s="227" t="s">
        <v>52</v>
      </c>
      <c r="C108" s="228"/>
      <c r="D108" s="228"/>
      <c r="E108" s="228"/>
      <c r="F108" s="228"/>
      <c r="G108" s="229"/>
      <c r="H108" s="46">
        <f>SUM(H109:H111)</f>
        <v>777.895</v>
      </c>
    </row>
    <row r="109" spans="1:8" s="153" customFormat="1" ht="71.25" customHeight="1">
      <c r="A109" s="35"/>
      <c r="B109" s="7" t="s">
        <v>233</v>
      </c>
      <c r="C109" s="8"/>
      <c r="D109" s="199" t="s">
        <v>201</v>
      </c>
      <c r="E109" s="188" t="s">
        <v>702</v>
      </c>
      <c r="F109" s="188" t="s">
        <v>57</v>
      </c>
      <c r="G109" s="188" t="s">
        <v>240</v>
      </c>
      <c r="H109" s="47">
        <v>0</v>
      </c>
    </row>
    <row r="110" spans="1:8" s="153" customFormat="1" ht="71.25" customHeight="1">
      <c r="A110" s="35"/>
      <c r="B110" s="7" t="s">
        <v>1024</v>
      </c>
      <c r="C110" s="8"/>
      <c r="D110" s="200"/>
      <c r="E110" s="202"/>
      <c r="F110" s="202"/>
      <c r="G110" s="202"/>
      <c r="H110" s="47">
        <v>777.895</v>
      </c>
    </row>
    <row r="111" spans="1:8" s="153" customFormat="1" ht="47.25" customHeight="1">
      <c r="A111" s="35"/>
      <c r="B111" s="28" t="s">
        <v>666</v>
      </c>
      <c r="C111" s="8"/>
      <c r="D111" s="239"/>
      <c r="E111" s="189"/>
      <c r="F111" s="189"/>
      <c r="G111" s="189"/>
      <c r="H111" s="47">
        <v>0</v>
      </c>
    </row>
    <row r="112" spans="1:8" s="155" customFormat="1" ht="13.5" customHeight="1">
      <c r="A112" s="34" t="s">
        <v>119</v>
      </c>
      <c r="B112" s="227" t="s">
        <v>258</v>
      </c>
      <c r="C112" s="228"/>
      <c r="D112" s="228"/>
      <c r="E112" s="228"/>
      <c r="F112" s="228"/>
      <c r="G112" s="229"/>
      <c r="H112" s="46">
        <f>H113</f>
        <v>158</v>
      </c>
    </row>
    <row r="113" spans="1:8" s="155" customFormat="1" ht="61.5" customHeight="1">
      <c r="A113" s="88"/>
      <c r="B113" s="28" t="s">
        <v>637</v>
      </c>
      <c r="C113" s="11"/>
      <c r="D113" s="92" t="s">
        <v>156</v>
      </c>
      <c r="E113" s="26" t="s">
        <v>638</v>
      </c>
      <c r="F113" s="26" t="s">
        <v>378</v>
      </c>
      <c r="G113" s="61" t="s">
        <v>600</v>
      </c>
      <c r="H113" s="54">
        <v>158</v>
      </c>
    </row>
    <row r="114" spans="1:8" s="153" customFormat="1" ht="12" customHeight="1">
      <c r="A114" s="34" t="s">
        <v>171</v>
      </c>
      <c r="B114" s="227" t="s">
        <v>172</v>
      </c>
      <c r="C114" s="228"/>
      <c r="D114" s="228"/>
      <c r="E114" s="228"/>
      <c r="F114" s="228"/>
      <c r="G114" s="229"/>
      <c r="H114" s="46">
        <f>H115</f>
        <v>292</v>
      </c>
    </row>
    <row r="115" spans="1:8" s="155" customFormat="1" ht="72" customHeight="1">
      <c r="A115" s="38"/>
      <c r="B115" s="21" t="s">
        <v>325</v>
      </c>
      <c r="C115" s="8"/>
      <c r="D115" s="44" t="s">
        <v>278</v>
      </c>
      <c r="E115" s="17" t="s">
        <v>607</v>
      </c>
      <c r="F115" s="17" t="s">
        <v>443</v>
      </c>
      <c r="G115" s="17" t="s">
        <v>3</v>
      </c>
      <c r="H115" s="54">
        <v>292</v>
      </c>
    </row>
    <row r="116" spans="1:8" s="155" customFormat="1" ht="12.75" customHeight="1">
      <c r="A116" s="34" t="s">
        <v>13</v>
      </c>
      <c r="B116" s="227" t="s">
        <v>34</v>
      </c>
      <c r="C116" s="228"/>
      <c r="D116" s="228"/>
      <c r="E116" s="228"/>
      <c r="F116" s="228"/>
      <c r="G116" s="229"/>
      <c r="H116" s="46">
        <f>SUM(H117:H117)</f>
        <v>25151</v>
      </c>
    </row>
    <row r="117" spans="1:8" s="155" customFormat="1" ht="27.75" customHeight="1">
      <c r="A117" s="34"/>
      <c r="B117" s="7" t="s">
        <v>228</v>
      </c>
      <c r="C117" s="8"/>
      <c r="D117" s="45" t="s">
        <v>286</v>
      </c>
      <c r="E117" s="59" t="s">
        <v>615</v>
      </c>
      <c r="F117" s="59" t="s">
        <v>312</v>
      </c>
      <c r="G117" s="59" t="s">
        <v>367</v>
      </c>
      <c r="H117" s="47">
        <v>25151</v>
      </c>
    </row>
    <row r="118" spans="1:8" s="153" customFormat="1" ht="12.75" customHeight="1">
      <c r="A118" s="34" t="s">
        <v>108</v>
      </c>
      <c r="B118" s="227" t="s">
        <v>15</v>
      </c>
      <c r="C118" s="228"/>
      <c r="D118" s="228"/>
      <c r="E118" s="228"/>
      <c r="F118" s="228"/>
      <c r="G118" s="229"/>
      <c r="H118" s="46">
        <f>H119</f>
        <v>112.6</v>
      </c>
    </row>
    <row r="119" spans="1:8" s="154" customFormat="1" ht="20.25" customHeight="1">
      <c r="A119" s="197"/>
      <c r="B119" s="268" t="s">
        <v>236</v>
      </c>
      <c r="C119" s="8"/>
      <c r="D119" s="275" t="s">
        <v>135</v>
      </c>
      <c r="E119" s="269" t="s">
        <v>317</v>
      </c>
      <c r="F119" s="269" t="s">
        <v>318</v>
      </c>
      <c r="G119" s="269" t="s">
        <v>319</v>
      </c>
      <c r="H119" s="276">
        <v>112.6</v>
      </c>
    </row>
    <row r="120" spans="1:8" s="154" customFormat="1" ht="20.25" customHeight="1">
      <c r="A120" s="230"/>
      <c r="B120" s="268"/>
      <c r="C120" s="8"/>
      <c r="D120" s="275"/>
      <c r="E120" s="269"/>
      <c r="F120" s="269"/>
      <c r="G120" s="269"/>
      <c r="H120" s="276"/>
    </row>
    <row r="121" spans="1:8" s="155" customFormat="1" ht="23.25" customHeight="1">
      <c r="A121" s="34" t="s">
        <v>45</v>
      </c>
      <c r="B121" s="270" t="s">
        <v>1103</v>
      </c>
      <c r="C121" s="271"/>
      <c r="D121" s="271"/>
      <c r="E121" s="271"/>
      <c r="F121" s="271"/>
      <c r="G121" s="272"/>
      <c r="H121" s="46">
        <f>SUM(H122:H122)</f>
        <v>455</v>
      </c>
    </row>
    <row r="122" spans="1:8" s="153" customFormat="1" ht="41.25" customHeight="1">
      <c r="A122" s="35"/>
      <c r="B122" s="21" t="s">
        <v>161</v>
      </c>
      <c r="C122" s="15"/>
      <c r="D122" s="41" t="s">
        <v>136</v>
      </c>
      <c r="E122" s="33" t="s">
        <v>608</v>
      </c>
      <c r="F122" s="33" t="s">
        <v>85</v>
      </c>
      <c r="G122" s="33" t="s">
        <v>603</v>
      </c>
      <c r="H122" s="47">
        <v>455</v>
      </c>
    </row>
    <row r="123" spans="1:8" s="153" customFormat="1" ht="23.25" customHeight="1">
      <c r="A123" s="34" t="s">
        <v>17</v>
      </c>
      <c r="B123" s="227" t="s">
        <v>18</v>
      </c>
      <c r="C123" s="228"/>
      <c r="D123" s="228"/>
      <c r="E123" s="228"/>
      <c r="F123" s="228"/>
      <c r="G123" s="229"/>
      <c r="H123" s="46">
        <f>SUM(H124:H130)</f>
        <v>17918.5</v>
      </c>
    </row>
    <row r="124" spans="1:8" s="154" customFormat="1" ht="108.75" customHeight="1">
      <c r="A124" s="197"/>
      <c r="B124" s="231" t="s">
        <v>76</v>
      </c>
      <c r="C124" s="8"/>
      <c r="D124" s="199" t="s">
        <v>544</v>
      </c>
      <c r="E124" s="17" t="s">
        <v>1089</v>
      </c>
      <c r="F124" s="17" t="s">
        <v>162</v>
      </c>
      <c r="G124" s="17" t="s">
        <v>163</v>
      </c>
      <c r="H124" s="186">
        <f>970.1+2060</f>
        <v>3030.1</v>
      </c>
    </row>
    <row r="125" spans="1:8" s="154" customFormat="1" ht="39.75" customHeight="1">
      <c r="A125" s="230"/>
      <c r="B125" s="246"/>
      <c r="C125" s="8"/>
      <c r="D125" s="239"/>
      <c r="E125" s="19" t="s">
        <v>1207</v>
      </c>
      <c r="F125" s="19" t="s">
        <v>1141</v>
      </c>
      <c r="G125" s="19" t="s">
        <v>1138</v>
      </c>
      <c r="H125" s="187"/>
    </row>
    <row r="126" spans="1:8" s="154" customFormat="1" ht="83.25" customHeight="1">
      <c r="A126" s="35"/>
      <c r="B126" s="7" t="s">
        <v>470</v>
      </c>
      <c r="C126" s="8"/>
      <c r="D126" s="40" t="s">
        <v>609</v>
      </c>
      <c r="E126" s="3" t="s">
        <v>610</v>
      </c>
      <c r="F126" s="3" t="s">
        <v>222</v>
      </c>
      <c r="G126" s="3" t="s">
        <v>316</v>
      </c>
      <c r="H126" s="47">
        <v>3122</v>
      </c>
    </row>
    <row r="127" spans="1:8" s="154" customFormat="1" ht="48.75" customHeight="1">
      <c r="A127" s="35"/>
      <c r="B127" s="28" t="s">
        <v>1023</v>
      </c>
      <c r="C127" s="8"/>
      <c r="D127" s="40" t="s">
        <v>609</v>
      </c>
      <c r="E127" s="26" t="s">
        <v>518</v>
      </c>
      <c r="F127" s="26"/>
      <c r="G127" s="61"/>
      <c r="H127" s="47">
        <v>11458</v>
      </c>
    </row>
    <row r="128" spans="1:8" s="154" customFormat="1" ht="83.25" customHeight="1">
      <c r="A128" s="36"/>
      <c r="B128" s="28" t="s">
        <v>667</v>
      </c>
      <c r="C128" s="15"/>
      <c r="D128" s="41" t="s">
        <v>545</v>
      </c>
      <c r="E128" s="26" t="s">
        <v>748</v>
      </c>
      <c r="F128" s="26" t="s">
        <v>222</v>
      </c>
      <c r="G128" s="61" t="s">
        <v>749</v>
      </c>
      <c r="H128" s="49">
        <v>0</v>
      </c>
    </row>
    <row r="129" spans="1:8" s="154" customFormat="1" ht="177" customHeight="1">
      <c r="A129" s="35"/>
      <c r="B129" s="69" t="s">
        <v>1025</v>
      </c>
      <c r="C129" s="15"/>
      <c r="D129" s="41" t="s">
        <v>545</v>
      </c>
      <c r="E129" s="26" t="s">
        <v>518</v>
      </c>
      <c r="F129" s="26"/>
      <c r="G129" s="61"/>
      <c r="H129" s="47">
        <v>98</v>
      </c>
    </row>
    <row r="130" spans="1:8" s="154" customFormat="1" ht="38.25" customHeight="1">
      <c r="A130" s="197"/>
      <c r="B130" s="231" t="s">
        <v>237</v>
      </c>
      <c r="C130" s="15"/>
      <c r="D130" s="199" t="s">
        <v>609</v>
      </c>
      <c r="E130" s="24" t="s">
        <v>1192</v>
      </c>
      <c r="F130" s="24" t="s">
        <v>865</v>
      </c>
      <c r="G130" s="62" t="s">
        <v>600</v>
      </c>
      <c r="H130" s="186">
        <v>210.4</v>
      </c>
    </row>
    <row r="131" spans="1:8" s="154" customFormat="1" ht="36.75" customHeight="1">
      <c r="A131" s="230"/>
      <c r="B131" s="246"/>
      <c r="C131" s="15"/>
      <c r="D131" s="239"/>
      <c r="E131" s="25" t="s">
        <v>1156</v>
      </c>
      <c r="F131" s="25" t="s">
        <v>1141</v>
      </c>
      <c r="G131" s="25" t="s">
        <v>1193</v>
      </c>
      <c r="H131" s="187"/>
    </row>
    <row r="132" spans="1:8" s="153" customFormat="1" ht="12.75" customHeight="1">
      <c r="A132" s="34" t="s">
        <v>81</v>
      </c>
      <c r="B132" s="227" t="s">
        <v>109</v>
      </c>
      <c r="C132" s="228"/>
      <c r="D132" s="228"/>
      <c r="E132" s="228"/>
      <c r="F132" s="228"/>
      <c r="G132" s="229"/>
      <c r="H132" s="46">
        <f>SUM(H133:H136)</f>
        <v>784.6</v>
      </c>
    </row>
    <row r="133" spans="1:8" s="154" customFormat="1" ht="35.25" customHeight="1">
      <c r="A133" s="197"/>
      <c r="B133" s="231" t="s">
        <v>1150</v>
      </c>
      <c r="C133" s="8"/>
      <c r="D133" s="41" t="s">
        <v>278</v>
      </c>
      <c r="E133" s="188" t="s">
        <v>1151</v>
      </c>
      <c r="F133" s="188" t="s">
        <v>222</v>
      </c>
      <c r="G133" s="188" t="s">
        <v>1152</v>
      </c>
      <c r="H133" s="49">
        <v>48</v>
      </c>
    </row>
    <row r="134" spans="1:8" s="154" customFormat="1" ht="35.25" customHeight="1">
      <c r="A134" s="230"/>
      <c r="B134" s="246"/>
      <c r="C134" s="15"/>
      <c r="D134" s="44" t="s">
        <v>12</v>
      </c>
      <c r="E134" s="189"/>
      <c r="F134" s="189"/>
      <c r="G134" s="189"/>
      <c r="H134" s="54">
        <v>162</v>
      </c>
    </row>
    <row r="135" spans="1:8" s="154" customFormat="1" ht="39.75" customHeight="1">
      <c r="A135" s="35"/>
      <c r="B135" s="7" t="s">
        <v>38</v>
      </c>
      <c r="C135" s="8"/>
      <c r="D135" s="40" t="s">
        <v>134</v>
      </c>
      <c r="E135" s="3" t="s">
        <v>524</v>
      </c>
      <c r="F135" s="3" t="s">
        <v>32</v>
      </c>
      <c r="G135" s="3" t="s">
        <v>75</v>
      </c>
      <c r="H135" s="47">
        <v>300</v>
      </c>
    </row>
    <row r="136" spans="1:8" s="154" customFormat="1" ht="40.5" customHeight="1">
      <c r="A136" s="35"/>
      <c r="B136" s="7" t="s">
        <v>249</v>
      </c>
      <c r="C136" s="8"/>
      <c r="D136" s="40" t="s">
        <v>278</v>
      </c>
      <c r="E136" s="26" t="s">
        <v>506</v>
      </c>
      <c r="F136" s="26" t="s">
        <v>178</v>
      </c>
      <c r="G136" s="26" t="s">
        <v>370</v>
      </c>
      <c r="H136" s="47">
        <v>274.6</v>
      </c>
    </row>
    <row r="137" spans="1:8" s="153" customFormat="1" ht="24" customHeight="1">
      <c r="A137" s="34" t="s">
        <v>621</v>
      </c>
      <c r="B137" s="227" t="s">
        <v>622</v>
      </c>
      <c r="C137" s="228"/>
      <c r="D137" s="228"/>
      <c r="E137" s="228"/>
      <c r="F137" s="228"/>
      <c r="G137" s="229"/>
      <c r="H137" s="46">
        <f>SUM(H138:H141)</f>
        <v>885</v>
      </c>
    </row>
    <row r="138" spans="1:8" s="154" customFormat="1" ht="37.5" customHeight="1">
      <c r="A138" s="35"/>
      <c r="B138" s="7" t="s">
        <v>526</v>
      </c>
      <c r="C138" s="8"/>
      <c r="D138" s="40" t="s">
        <v>177</v>
      </c>
      <c r="E138" s="3" t="s">
        <v>527</v>
      </c>
      <c r="F138" s="3" t="s">
        <v>103</v>
      </c>
      <c r="G138" s="3" t="s">
        <v>27</v>
      </c>
      <c r="H138" s="47">
        <v>200</v>
      </c>
    </row>
    <row r="139" spans="1:8" s="154" customFormat="1" ht="39" customHeight="1">
      <c r="A139" s="197"/>
      <c r="B139" s="209" t="s">
        <v>464</v>
      </c>
      <c r="C139" s="8"/>
      <c r="D139" s="199" t="s">
        <v>101</v>
      </c>
      <c r="E139" s="24" t="s">
        <v>465</v>
      </c>
      <c r="F139" s="24" t="s">
        <v>7</v>
      </c>
      <c r="G139" s="62" t="s">
        <v>466</v>
      </c>
      <c r="H139" s="186"/>
    </row>
    <row r="140" spans="1:8" s="154" customFormat="1" ht="45" customHeight="1">
      <c r="A140" s="198"/>
      <c r="B140" s="280"/>
      <c r="C140" s="8"/>
      <c r="D140" s="200"/>
      <c r="E140" s="81" t="s">
        <v>467</v>
      </c>
      <c r="F140" s="81" t="s">
        <v>222</v>
      </c>
      <c r="G140" s="85" t="s">
        <v>468</v>
      </c>
      <c r="H140" s="235"/>
    </row>
    <row r="141" spans="1:8" s="154" customFormat="1" ht="62.25" customHeight="1">
      <c r="A141" s="230"/>
      <c r="B141" s="210"/>
      <c r="C141" s="8"/>
      <c r="D141" s="239"/>
      <c r="E141" s="25" t="s">
        <v>605</v>
      </c>
      <c r="F141" s="25" t="s">
        <v>173</v>
      </c>
      <c r="G141" s="63" t="s">
        <v>606</v>
      </c>
      <c r="H141" s="54">
        <v>685</v>
      </c>
    </row>
    <row r="142" spans="1:8" s="153" customFormat="1" ht="34.5" customHeight="1" hidden="1">
      <c r="A142" s="34" t="s">
        <v>655</v>
      </c>
      <c r="B142" s="227" t="s">
        <v>656</v>
      </c>
      <c r="C142" s="228"/>
      <c r="D142" s="228"/>
      <c r="E142" s="228"/>
      <c r="F142" s="228"/>
      <c r="G142" s="229"/>
      <c r="H142" s="46">
        <f>SUM(H143:H152)</f>
        <v>0</v>
      </c>
    </row>
    <row r="143" spans="1:8" s="154" customFormat="1" ht="94.5" customHeight="1" hidden="1">
      <c r="A143" s="35"/>
      <c r="B143" s="28" t="s">
        <v>596</v>
      </c>
      <c r="C143" s="8"/>
      <c r="D143" s="40" t="s">
        <v>278</v>
      </c>
      <c r="E143" s="26" t="s">
        <v>481</v>
      </c>
      <c r="F143" s="26" t="s">
        <v>222</v>
      </c>
      <c r="G143" s="26" t="s">
        <v>482</v>
      </c>
      <c r="H143" s="47">
        <v>0</v>
      </c>
    </row>
    <row r="144" spans="1:8" s="154" customFormat="1" ht="84" customHeight="1" hidden="1">
      <c r="A144" s="197"/>
      <c r="B144" s="69" t="s">
        <v>484</v>
      </c>
      <c r="C144" s="15"/>
      <c r="D144" s="41" t="s">
        <v>12</v>
      </c>
      <c r="E144" s="24" t="s">
        <v>485</v>
      </c>
      <c r="F144" s="24" t="s">
        <v>222</v>
      </c>
      <c r="G144" s="24" t="s">
        <v>486</v>
      </c>
      <c r="H144" s="49">
        <v>0</v>
      </c>
    </row>
    <row r="145" spans="1:8" s="154" customFormat="1" ht="60" customHeight="1" hidden="1">
      <c r="A145" s="198"/>
      <c r="B145" s="104" t="s">
        <v>1079</v>
      </c>
      <c r="C145" s="65"/>
      <c r="D145" s="42" t="s">
        <v>278</v>
      </c>
      <c r="E145" s="81" t="s">
        <v>642</v>
      </c>
      <c r="F145" s="81" t="s">
        <v>173</v>
      </c>
      <c r="G145" s="81" t="s">
        <v>604</v>
      </c>
      <c r="H145" s="50">
        <v>0</v>
      </c>
    </row>
    <row r="146" spans="1:8" s="154" customFormat="1" ht="71.25" customHeight="1" hidden="1">
      <c r="A146" s="198"/>
      <c r="B146" s="104"/>
      <c r="C146" s="65"/>
      <c r="D146" s="76"/>
      <c r="E146" s="81" t="s">
        <v>703</v>
      </c>
      <c r="F146" s="81" t="s">
        <v>222</v>
      </c>
      <c r="G146" s="81" t="s">
        <v>704</v>
      </c>
      <c r="H146" s="50"/>
    </row>
    <row r="147" spans="1:8" s="154" customFormat="1" ht="59.25" customHeight="1" hidden="1">
      <c r="A147" s="198"/>
      <c r="B147" s="104"/>
      <c r="C147" s="65"/>
      <c r="D147" s="76" t="s">
        <v>101</v>
      </c>
      <c r="E147" s="81" t="s">
        <v>705</v>
      </c>
      <c r="F147" s="81" t="s">
        <v>222</v>
      </c>
      <c r="G147" s="81" t="s">
        <v>706</v>
      </c>
      <c r="H147" s="50">
        <v>0</v>
      </c>
    </row>
    <row r="148" spans="1:8" s="154" customFormat="1" ht="59.25" customHeight="1" hidden="1">
      <c r="A148" s="281"/>
      <c r="B148" s="171"/>
      <c r="C148" s="170"/>
      <c r="D148" s="76" t="s">
        <v>101</v>
      </c>
      <c r="E148" s="81" t="s">
        <v>504</v>
      </c>
      <c r="F148" s="81" t="s">
        <v>273</v>
      </c>
      <c r="G148" s="81" t="s">
        <v>505</v>
      </c>
      <c r="H148" s="50">
        <v>0</v>
      </c>
    </row>
    <row r="149" spans="1:8" s="154" customFormat="1" ht="27.75" customHeight="1" hidden="1">
      <c r="A149" s="198"/>
      <c r="B149" s="104"/>
      <c r="C149" s="65"/>
      <c r="D149" s="42" t="s">
        <v>200</v>
      </c>
      <c r="E149" s="261" t="s">
        <v>1077</v>
      </c>
      <c r="F149" s="261" t="s">
        <v>173</v>
      </c>
      <c r="G149" s="261" t="s">
        <v>1078</v>
      </c>
      <c r="H149" s="50">
        <v>0</v>
      </c>
    </row>
    <row r="150" spans="1:8" s="154" customFormat="1" ht="27.75" customHeight="1" hidden="1">
      <c r="A150" s="102"/>
      <c r="B150" s="104"/>
      <c r="C150" s="16"/>
      <c r="D150" s="42" t="s">
        <v>12</v>
      </c>
      <c r="E150" s="261"/>
      <c r="F150" s="261"/>
      <c r="G150" s="261"/>
      <c r="H150" s="50">
        <v>0</v>
      </c>
    </row>
    <row r="151" spans="1:8" s="154" customFormat="1" ht="27.75" customHeight="1" hidden="1">
      <c r="A151" s="198"/>
      <c r="B151" s="280"/>
      <c r="C151" s="16"/>
      <c r="D151" s="42" t="s">
        <v>200</v>
      </c>
      <c r="E151" s="261"/>
      <c r="F151" s="261"/>
      <c r="G151" s="261"/>
      <c r="H151" s="50">
        <v>0</v>
      </c>
    </row>
    <row r="152" spans="1:8" s="154" customFormat="1" ht="27.75" customHeight="1" hidden="1">
      <c r="A152" s="230"/>
      <c r="B152" s="210"/>
      <c r="C152" s="16"/>
      <c r="D152" s="44" t="s">
        <v>12</v>
      </c>
      <c r="E152" s="204"/>
      <c r="F152" s="204"/>
      <c r="G152" s="204"/>
      <c r="H152" s="54">
        <v>0</v>
      </c>
    </row>
    <row r="153" spans="1:8" s="153" customFormat="1" ht="24.75" customHeight="1">
      <c r="A153" s="34" t="s">
        <v>128</v>
      </c>
      <c r="B153" s="227" t="s">
        <v>1120</v>
      </c>
      <c r="C153" s="228"/>
      <c r="D153" s="228"/>
      <c r="E153" s="228"/>
      <c r="F153" s="228"/>
      <c r="G153" s="229"/>
      <c r="H153" s="46">
        <f>SUM(H154:H188)</f>
        <v>126223.82641999998</v>
      </c>
    </row>
    <row r="154" spans="1:8" s="156" customFormat="1" ht="48" customHeight="1">
      <c r="A154" s="111">
        <v>587</v>
      </c>
      <c r="B154" s="114" t="s">
        <v>284</v>
      </c>
      <c r="C154" s="31"/>
      <c r="D154" s="116" t="s">
        <v>864</v>
      </c>
      <c r="E154" s="110" t="s">
        <v>1050</v>
      </c>
      <c r="F154" s="110" t="s">
        <v>865</v>
      </c>
      <c r="G154" s="110" t="s">
        <v>1051</v>
      </c>
      <c r="H154" s="47">
        <v>39.1</v>
      </c>
    </row>
    <row r="155" spans="1:8" s="156" customFormat="1" ht="36.75" customHeight="1">
      <c r="A155" s="111">
        <v>590</v>
      </c>
      <c r="B155" s="114" t="s">
        <v>56</v>
      </c>
      <c r="C155" s="31"/>
      <c r="D155" s="116" t="s">
        <v>156</v>
      </c>
      <c r="E155" s="110" t="s">
        <v>869</v>
      </c>
      <c r="F155" s="110" t="s">
        <v>222</v>
      </c>
      <c r="G155" s="110" t="s">
        <v>870</v>
      </c>
      <c r="H155" s="47">
        <v>108.8</v>
      </c>
    </row>
    <row r="156" spans="1:8" s="156" customFormat="1" ht="61.5" customHeight="1">
      <c r="A156" s="109">
        <v>584</v>
      </c>
      <c r="B156" s="31" t="s">
        <v>871</v>
      </c>
      <c r="C156" s="31"/>
      <c r="D156" s="116" t="s">
        <v>872</v>
      </c>
      <c r="E156" s="110" t="s">
        <v>615</v>
      </c>
      <c r="F156" s="110" t="s">
        <v>873</v>
      </c>
      <c r="G156" s="110" t="s">
        <v>525</v>
      </c>
      <c r="H156" s="47">
        <v>1095.3</v>
      </c>
    </row>
    <row r="157" spans="1:8" s="154" customFormat="1" ht="96.75" customHeight="1">
      <c r="A157" s="197">
        <v>552</v>
      </c>
      <c r="B157" s="231" t="s">
        <v>234</v>
      </c>
      <c r="C157" s="11"/>
      <c r="D157" s="199" t="s">
        <v>184</v>
      </c>
      <c r="E157" s="17" t="s">
        <v>576</v>
      </c>
      <c r="F157" s="17" t="s">
        <v>222</v>
      </c>
      <c r="G157" s="17" t="s">
        <v>197</v>
      </c>
      <c r="H157" s="186">
        <v>4954.5</v>
      </c>
    </row>
    <row r="158" spans="1:8" s="154" customFormat="1" ht="37.5" customHeight="1" hidden="1">
      <c r="A158" s="230"/>
      <c r="B158" s="246"/>
      <c r="C158" s="11"/>
      <c r="D158" s="200"/>
      <c r="E158" s="202" t="s">
        <v>707</v>
      </c>
      <c r="F158" s="202" t="s">
        <v>222</v>
      </c>
      <c r="G158" s="202" t="s">
        <v>564</v>
      </c>
      <c r="H158" s="187"/>
    </row>
    <row r="159" spans="1:8" s="157" customFormat="1" ht="85.5" customHeight="1">
      <c r="A159" s="172">
        <v>649</v>
      </c>
      <c r="B159" s="28" t="s">
        <v>761</v>
      </c>
      <c r="C159" s="173"/>
      <c r="D159" s="239"/>
      <c r="E159" s="189"/>
      <c r="F159" s="189"/>
      <c r="G159" s="189"/>
      <c r="H159" s="57">
        <v>0</v>
      </c>
    </row>
    <row r="160" spans="1:8" s="156" customFormat="1" ht="87" customHeight="1">
      <c r="A160" s="109">
        <v>566</v>
      </c>
      <c r="B160" s="31" t="s">
        <v>281</v>
      </c>
      <c r="C160" s="31"/>
      <c r="D160" s="115" t="s">
        <v>156</v>
      </c>
      <c r="E160" s="110" t="s">
        <v>1195</v>
      </c>
      <c r="F160" s="110" t="s">
        <v>1141</v>
      </c>
      <c r="G160" s="110" t="s">
        <v>1138</v>
      </c>
      <c r="H160" s="47">
        <v>2010.6</v>
      </c>
    </row>
    <row r="161" spans="1:8" s="157" customFormat="1" ht="51" customHeight="1">
      <c r="A161" s="109">
        <v>567</v>
      </c>
      <c r="B161" s="31" t="s">
        <v>282</v>
      </c>
      <c r="C161" s="110"/>
      <c r="D161" s="115" t="s">
        <v>609</v>
      </c>
      <c r="E161" s="110" t="s">
        <v>1156</v>
      </c>
      <c r="F161" s="110" t="s">
        <v>1141</v>
      </c>
      <c r="G161" s="110" t="s">
        <v>1194</v>
      </c>
      <c r="H161" s="47">
        <v>4628</v>
      </c>
    </row>
    <row r="162" spans="1:8" s="157" customFormat="1" ht="84" customHeight="1">
      <c r="A162" s="102">
        <v>585</v>
      </c>
      <c r="B162" s="31" t="s">
        <v>516</v>
      </c>
      <c r="C162" s="65"/>
      <c r="D162" s="42" t="s">
        <v>224</v>
      </c>
      <c r="E162" s="110" t="s">
        <v>1208</v>
      </c>
      <c r="F162" s="110" t="s">
        <v>1209</v>
      </c>
      <c r="G162" s="110" t="s">
        <v>1210</v>
      </c>
      <c r="H162" s="47">
        <v>12072</v>
      </c>
    </row>
    <row r="163" spans="1:8" s="157" customFormat="1" ht="53.25" customHeight="1">
      <c r="A163" s="109">
        <v>579</v>
      </c>
      <c r="B163" s="31" t="s">
        <v>283</v>
      </c>
      <c r="C163" s="110"/>
      <c r="D163" s="115" t="s">
        <v>131</v>
      </c>
      <c r="E163" s="110" t="s">
        <v>885</v>
      </c>
      <c r="F163" s="110" t="s">
        <v>103</v>
      </c>
      <c r="G163" s="110" t="s">
        <v>886</v>
      </c>
      <c r="H163" s="47">
        <v>20667</v>
      </c>
    </row>
    <row r="164" spans="1:8" s="157" customFormat="1" ht="38.25" customHeight="1">
      <c r="A164" s="109">
        <v>0</v>
      </c>
      <c r="B164" s="7" t="s">
        <v>475</v>
      </c>
      <c r="C164" s="110"/>
      <c r="D164" s="115" t="s">
        <v>894</v>
      </c>
      <c r="E164" s="103" t="s">
        <v>1236</v>
      </c>
      <c r="F164" s="110"/>
      <c r="G164" s="110" t="s">
        <v>1138</v>
      </c>
      <c r="H164" s="47">
        <v>41509.2</v>
      </c>
    </row>
    <row r="165" spans="1:8" s="157" customFormat="1" ht="48.75" customHeight="1">
      <c r="A165" s="109">
        <v>634</v>
      </c>
      <c r="B165" s="28" t="s">
        <v>678</v>
      </c>
      <c r="C165" s="124"/>
      <c r="D165" s="125" t="s">
        <v>224</v>
      </c>
      <c r="E165" s="103" t="s">
        <v>685</v>
      </c>
      <c r="F165" s="124" t="s">
        <v>178</v>
      </c>
      <c r="G165" s="124" t="s">
        <v>880</v>
      </c>
      <c r="H165" s="57">
        <v>7550</v>
      </c>
    </row>
    <row r="166" spans="1:8" s="157" customFormat="1" ht="70.5" customHeight="1">
      <c r="A166" s="122">
        <v>641</v>
      </c>
      <c r="B166" s="28" t="s">
        <v>740</v>
      </c>
      <c r="C166" s="124"/>
      <c r="D166" s="126" t="s">
        <v>224</v>
      </c>
      <c r="E166" s="103" t="s">
        <v>983</v>
      </c>
      <c r="F166" s="124" t="s">
        <v>103</v>
      </c>
      <c r="G166" s="124" t="s">
        <v>988</v>
      </c>
      <c r="H166" s="57">
        <v>3780</v>
      </c>
    </row>
    <row r="167" spans="1:8" s="157" customFormat="1" ht="48.75" customHeight="1">
      <c r="A167" s="122">
        <v>657</v>
      </c>
      <c r="B167" s="28" t="s">
        <v>1026</v>
      </c>
      <c r="C167" s="110"/>
      <c r="D167" s="115" t="s">
        <v>864</v>
      </c>
      <c r="E167" s="119" t="s">
        <v>518</v>
      </c>
      <c r="F167" s="110"/>
      <c r="G167" s="110"/>
      <c r="H167" s="57">
        <v>1318.4</v>
      </c>
    </row>
    <row r="168" spans="1:8" s="157" customFormat="1" ht="37.5" customHeight="1">
      <c r="A168" s="109">
        <v>656</v>
      </c>
      <c r="B168" s="28" t="s">
        <v>1027</v>
      </c>
      <c r="C168" s="110"/>
      <c r="D168" s="115" t="s">
        <v>131</v>
      </c>
      <c r="E168" s="119" t="s">
        <v>518</v>
      </c>
      <c r="F168" s="110"/>
      <c r="G168" s="110"/>
      <c r="H168" s="57">
        <v>1357.2</v>
      </c>
    </row>
    <row r="169" spans="1:8" s="157" customFormat="1" ht="37.5" customHeight="1">
      <c r="A169" s="109">
        <v>658</v>
      </c>
      <c r="B169" s="28" t="s">
        <v>1028</v>
      </c>
      <c r="C169" s="110"/>
      <c r="D169" s="115" t="s">
        <v>156</v>
      </c>
      <c r="E169" s="119" t="s">
        <v>518</v>
      </c>
      <c r="F169" s="110"/>
      <c r="G169" s="110"/>
      <c r="H169" s="57">
        <v>15.4</v>
      </c>
    </row>
    <row r="170" spans="1:8" s="157" customFormat="1" ht="121.5" customHeight="1">
      <c r="A170" s="109">
        <v>333</v>
      </c>
      <c r="B170" s="28" t="s">
        <v>1135</v>
      </c>
      <c r="C170" s="110"/>
      <c r="D170" s="115" t="s">
        <v>131</v>
      </c>
      <c r="E170" s="103" t="s">
        <v>1143</v>
      </c>
      <c r="F170" s="110" t="s">
        <v>62</v>
      </c>
      <c r="G170" s="110" t="s">
        <v>1144</v>
      </c>
      <c r="H170" s="57">
        <v>2154</v>
      </c>
    </row>
    <row r="171" spans="1:8" s="157" customFormat="1" ht="134.25" customHeight="1">
      <c r="A171" s="109">
        <v>301</v>
      </c>
      <c r="B171" s="28" t="s">
        <v>1157</v>
      </c>
      <c r="C171" s="110"/>
      <c r="D171" s="115" t="s">
        <v>131</v>
      </c>
      <c r="E171" s="165" t="s">
        <v>1158</v>
      </c>
      <c r="F171" s="110" t="s">
        <v>1141</v>
      </c>
      <c r="G171" s="110" t="s">
        <v>1204</v>
      </c>
      <c r="H171" s="57">
        <v>3000</v>
      </c>
    </row>
    <row r="172" spans="1:8" s="157" customFormat="1" ht="59.25" customHeight="1">
      <c r="A172" s="109">
        <v>312</v>
      </c>
      <c r="B172" s="28" t="s">
        <v>1159</v>
      </c>
      <c r="C172" s="110"/>
      <c r="D172" s="115" t="s">
        <v>11</v>
      </c>
      <c r="E172" s="165" t="s">
        <v>1160</v>
      </c>
      <c r="F172" s="110" t="s">
        <v>1141</v>
      </c>
      <c r="G172" s="110" t="s">
        <v>1204</v>
      </c>
      <c r="H172" s="57">
        <v>99</v>
      </c>
    </row>
    <row r="173" spans="1:8" s="157" customFormat="1" ht="48" customHeight="1">
      <c r="A173" s="109">
        <v>303</v>
      </c>
      <c r="B173" s="28" t="s">
        <v>1161</v>
      </c>
      <c r="C173" s="110"/>
      <c r="D173" s="115" t="s">
        <v>11</v>
      </c>
      <c r="E173" s="165" t="s">
        <v>1162</v>
      </c>
      <c r="F173" s="110" t="s">
        <v>1141</v>
      </c>
      <c r="G173" s="110" t="s">
        <v>1204</v>
      </c>
      <c r="H173" s="57">
        <v>100</v>
      </c>
    </row>
    <row r="174" spans="1:8" s="157" customFormat="1" ht="26.25" customHeight="1">
      <c r="A174" s="109">
        <v>304</v>
      </c>
      <c r="B174" s="28" t="s">
        <v>1163</v>
      </c>
      <c r="C174" s="110"/>
      <c r="D174" s="115" t="s">
        <v>11</v>
      </c>
      <c r="E174" s="165" t="s">
        <v>1164</v>
      </c>
      <c r="F174" s="110" t="s">
        <v>1141</v>
      </c>
      <c r="G174" s="110" t="s">
        <v>1204</v>
      </c>
      <c r="H174" s="57">
        <v>60</v>
      </c>
    </row>
    <row r="175" spans="1:8" s="157" customFormat="1" ht="27" customHeight="1">
      <c r="A175" s="109">
        <v>305</v>
      </c>
      <c r="B175" s="166" t="s">
        <v>1166</v>
      </c>
      <c r="C175" s="110"/>
      <c r="D175" s="115" t="s">
        <v>131</v>
      </c>
      <c r="E175" s="165" t="s">
        <v>1165</v>
      </c>
      <c r="F175" s="110" t="s">
        <v>1141</v>
      </c>
      <c r="G175" s="110" t="s">
        <v>1204</v>
      </c>
      <c r="H175" s="57">
        <v>500</v>
      </c>
    </row>
    <row r="176" spans="1:8" s="157" customFormat="1" ht="38.25" customHeight="1">
      <c r="A176" s="109">
        <v>306</v>
      </c>
      <c r="B176" s="166" t="s">
        <v>1167</v>
      </c>
      <c r="C176" s="110"/>
      <c r="D176" s="115" t="s">
        <v>135</v>
      </c>
      <c r="E176" s="165" t="s">
        <v>1168</v>
      </c>
      <c r="F176" s="110" t="s">
        <v>1141</v>
      </c>
      <c r="G176" s="110" t="s">
        <v>1203</v>
      </c>
      <c r="H176" s="57">
        <v>80</v>
      </c>
    </row>
    <row r="177" spans="1:8" s="157" customFormat="1" ht="50.25" customHeight="1">
      <c r="A177" s="109">
        <v>307</v>
      </c>
      <c r="B177" s="166" t="s">
        <v>1169</v>
      </c>
      <c r="C177" s="110"/>
      <c r="D177" s="115" t="s">
        <v>278</v>
      </c>
      <c r="E177" s="165" t="s">
        <v>1205</v>
      </c>
      <c r="F177" s="110" t="s">
        <v>1141</v>
      </c>
      <c r="G177" s="110" t="s">
        <v>1204</v>
      </c>
      <c r="H177" s="57">
        <v>550</v>
      </c>
    </row>
    <row r="178" spans="1:8" s="157" customFormat="1" ht="42" customHeight="1">
      <c r="A178" s="109">
        <v>308</v>
      </c>
      <c r="B178" s="166" t="s">
        <v>1170</v>
      </c>
      <c r="C178" s="110"/>
      <c r="D178" s="115" t="s">
        <v>131</v>
      </c>
      <c r="E178" s="165" t="s">
        <v>1171</v>
      </c>
      <c r="F178" s="110" t="s">
        <v>1141</v>
      </c>
      <c r="G178" s="110" t="s">
        <v>1237</v>
      </c>
      <c r="H178" s="57">
        <v>2000</v>
      </c>
    </row>
    <row r="179" spans="1:8" s="157" customFormat="1" ht="49.5" customHeight="1">
      <c r="A179" s="109">
        <v>309</v>
      </c>
      <c r="B179" s="166" t="s">
        <v>1173</v>
      </c>
      <c r="C179" s="110"/>
      <c r="D179" s="115" t="s">
        <v>156</v>
      </c>
      <c r="E179" s="165" t="s">
        <v>1172</v>
      </c>
      <c r="F179" s="110" t="s">
        <v>1141</v>
      </c>
      <c r="G179" s="110" t="s">
        <v>1237</v>
      </c>
      <c r="H179" s="57">
        <v>382.6</v>
      </c>
    </row>
    <row r="180" spans="1:8" s="157" customFormat="1" ht="37.5" customHeight="1">
      <c r="A180" s="109">
        <v>310</v>
      </c>
      <c r="B180" s="166" t="s">
        <v>1174</v>
      </c>
      <c r="C180" s="110"/>
      <c r="D180" s="115" t="s">
        <v>156</v>
      </c>
      <c r="E180" s="165" t="s">
        <v>1175</v>
      </c>
      <c r="F180" s="110" t="s">
        <v>1141</v>
      </c>
      <c r="G180" s="110" t="s">
        <v>1237</v>
      </c>
      <c r="H180" s="57">
        <v>3000</v>
      </c>
    </row>
    <row r="181" spans="1:8" s="157" customFormat="1" ht="59.25" customHeight="1">
      <c r="A181" s="109">
        <v>311</v>
      </c>
      <c r="B181" s="166" t="s">
        <v>1176</v>
      </c>
      <c r="C181" s="110"/>
      <c r="D181" s="115" t="s">
        <v>131</v>
      </c>
      <c r="E181" s="167" t="s">
        <v>1177</v>
      </c>
      <c r="F181" s="110" t="s">
        <v>1141</v>
      </c>
      <c r="G181" s="110" t="s">
        <v>1237</v>
      </c>
      <c r="H181" s="57">
        <v>50</v>
      </c>
    </row>
    <row r="182" spans="1:8" s="157" customFormat="1" ht="52.5" customHeight="1">
      <c r="A182" s="109">
        <v>334</v>
      </c>
      <c r="B182" s="176" t="s">
        <v>1215</v>
      </c>
      <c r="C182" s="110"/>
      <c r="D182" s="115" t="s">
        <v>545</v>
      </c>
      <c r="E182" s="167" t="s">
        <v>1227</v>
      </c>
      <c r="F182" s="110" t="s">
        <v>1141</v>
      </c>
      <c r="G182" s="110" t="s">
        <v>1228</v>
      </c>
      <c r="H182" s="57">
        <v>140</v>
      </c>
    </row>
    <row r="183" spans="1:8" s="157" customFormat="1" ht="73.5" customHeight="1">
      <c r="A183" s="109">
        <v>617</v>
      </c>
      <c r="B183" s="176" t="s">
        <v>1214</v>
      </c>
      <c r="C183" s="110"/>
      <c r="D183" s="115" t="s">
        <v>184</v>
      </c>
      <c r="E183" s="30" t="s">
        <v>937</v>
      </c>
      <c r="F183" s="24" t="s">
        <v>173</v>
      </c>
      <c r="G183" s="24" t="s">
        <v>899</v>
      </c>
      <c r="H183" s="57">
        <v>1989.204</v>
      </c>
    </row>
    <row r="184" spans="1:8" s="157" customFormat="1" ht="62.25" customHeight="1">
      <c r="A184" s="109">
        <v>800</v>
      </c>
      <c r="B184" s="27" t="s">
        <v>1186</v>
      </c>
      <c r="C184" s="110"/>
      <c r="D184" s="115" t="s">
        <v>131</v>
      </c>
      <c r="E184" s="103" t="s">
        <v>1155</v>
      </c>
      <c r="F184" s="110" t="s">
        <v>531</v>
      </c>
      <c r="G184" s="110" t="s">
        <v>1187</v>
      </c>
      <c r="H184" s="57">
        <v>3000</v>
      </c>
    </row>
    <row r="185" spans="1:8" s="157" customFormat="1" ht="82.5" customHeight="1">
      <c r="A185" s="109">
        <v>801</v>
      </c>
      <c r="B185" s="28" t="s">
        <v>1178</v>
      </c>
      <c r="C185" s="110"/>
      <c r="D185" s="115" t="s">
        <v>184</v>
      </c>
      <c r="E185" s="30" t="s">
        <v>937</v>
      </c>
      <c r="F185" s="24" t="s">
        <v>173</v>
      </c>
      <c r="G185" s="24" t="s">
        <v>899</v>
      </c>
      <c r="H185" s="57">
        <v>2600.966</v>
      </c>
    </row>
    <row r="186" spans="1:8" s="157" customFormat="1" ht="95.25" customHeight="1">
      <c r="A186" s="109">
        <v>802</v>
      </c>
      <c r="B186" s="28" t="s">
        <v>1179</v>
      </c>
      <c r="C186" s="110"/>
      <c r="D186" s="115" t="s">
        <v>184</v>
      </c>
      <c r="E186" s="167" t="s">
        <v>1180</v>
      </c>
      <c r="F186" s="110" t="s">
        <v>222</v>
      </c>
      <c r="G186" s="110" t="s">
        <v>197</v>
      </c>
      <c r="H186" s="57">
        <v>110.552</v>
      </c>
    </row>
    <row r="187" spans="1:8" s="157" customFormat="1" ht="47.25" customHeight="1">
      <c r="A187" s="109">
        <v>804</v>
      </c>
      <c r="B187" s="27" t="s">
        <v>1213</v>
      </c>
      <c r="C187" s="110"/>
      <c r="D187" s="115" t="s">
        <v>224</v>
      </c>
      <c r="E187" s="167" t="s">
        <v>1219</v>
      </c>
      <c r="F187" s="110" t="s">
        <v>103</v>
      </c>
      <c r="G187" s="110" t="s">
        <v>1220</v>
      </c>
      <c r="H187" s="57">
        <v>1830.47442</v>
      </c>
    </row>
    <row r="188" spans="1:8" s="157" customFormat="1" ht="72" customHeight="1">
      <c r="A188" s="109">
        <v>806</v>
      </c>
      <c r="B188" s="27" t="s">
        <v>1181</v>
      </c>
      <c r="C188" s="110"/>
      <c r="D188" s="115" t="s">
        <v>135</v>
      </c>
      <c r="E188" s="103" t="s">
        <v>1188</v>
      </c>
      <c r="F188" s="110" t="s">
        <v>865</v>
      </c>
      <c r="G188" s="110" t="s">
        <v>1189</v>
      </c>
      <c r="H188" s="57">
        <v>3471.53</v>
      </c>
    </row>
    <row r="189" spans="1:8" s="153" customFormat="1" ht="24" customHeight="1">
      <c r="A189" s="34" t="s">
        <v>157</v>
      </c>
      <c r="B189" s="227" t="s">
        <v>1122</v>
      </c>
      <c r="C189" s="228"/>
      <c r="D189" s="228"/>
      <c r="E189" s="228"/>
      <c r="F189" s="228"/>
      <c r="G189" s="229"/>
      <c r="H189" s="46">
        <f>SUM(H190:H231)</f>
        <v>447436.432</v>
      </c>
    </row>
    <row r="190" spans="1:8" s="154" customFormat="1" ht="94.5" customHeight="1">
      <c r="A190" s="37" t="s">
        <v>326</v>
      </c>
      <c r="B190" s="20" t="s">
        <v>291</v>
      </c>
      <c r="C190" s="11"/>
      <c r="D190" s="44" t="s">
        <v>177</v>
      </c>
      <c r="E190" s="19" t="s">
        <v>565</v>
      </c>
      <c r="F190" s="19" t="s">
        <v>222</v>
      </c>
      <c r="G190" s="19" t="s">
        <v>566</v>
      </c>
      <c r="H190" s="142">
        <v>939</v>
      </c>
    </row>
    <row r="191" spans="1:8" s="154" customFormat="1" ht="98.25" customHeight="1">
      <c r="A191" s="36" t="s">
        <v>327</v>
      </c>
      <c r="B191" s="21" t="s">
        <v>298</v>
      </c>
      <c r="C191" s="8"/>
      <c r="D191" s="41" t="s">
        <v>177</v>
      </c>
      <c r="E191" s="17" t="s">
        <v>567</v>
      </c>
      <c r="F191" s="74" t="s">
        <v>273</v>
      </c>
      <c r="G191" s="74" t="s">
        <v>299</v>
      </c>
      <c r="H191" s="49">
        <v>157</v>
      </c>
    </row>
    <row r="192" spans="1:8" s="154" customFormat="1" ht="23.25" customHeight="1" hidden="1">
      <c r="A192" s="35" t="s">
        <v>328</v>
      </c>
      <c r="B192" s="7" t="s">
        <v>329</v>
      </c>
      <c r="C192" s="8"/>
      <c r="D192" s="40"/>
      <c r="E192" s="3"/>
      <c r="F192" s="6"/>
      <c r="G192" s="6"/>
      <c r="H192" s="49"/>
    </row>
    <row r="193" spans="1:8" s="154" customFormat="1" ht="19.5" customHeight="1">
      <c r="A193" s="197" t="s">
        <v>330</v>
      </c>
      <c r="B193" s="231" t="s">
        <v>331</v>
      </c>
      <c r="C193" s="8"/>
      <c r="D193" s="199" t="s">
        <v>184</v>
      </c>
      <c r="E193" s="188" t="s">
        <v>1212</v>
      </c>
      <c r="F193" s="190" t="s">
        <v>301</v>
      </c>
      <c r="G193" s="190" t="s">
        <v>264</v>
      </c>
      <c r="H193" s="186">
        <f>30340.8+17538</f>
        <v>47878.8</v>
      </c>
    </row>
    <row r="194" spans="1:8" s="154" customFormat="1" ht="19.5" customHeight="1">
      <c r="A194" s="198"/>
      <c r="B194" s="232"/>
      <c r="C194" s="8"/>
      <c r="D194" s="200"/>
      <c r="E194" s="202"/>
      <c r="F194" s="191"/>
      <c r="G194" s="191"/>
      <c r="H194" s="235"/>
    </row>
    <row r="195" spans="1:8" s="154" customFormat="1" ht="19.5" customHeight="1">
      <c r="A195" s="198"/>
      <c r="B195" s="232"/>
      <c r="C195" s="8"/>
      <c r="D195" s="200"/>
      <c r="E195" s="202"/>
      <c r="F195" s="191"/>
      <c r="G195" s="191"/>
      <c r="H195" s="235"/>
    </row>
    <row r="196" spans="1:8" s="154" customFormat="1" ht="19.5" customHeight="1">
      <c r="A196" s="198"/>
      <c r="B196" s="232"/>
      <c r="C196" s="8"/>
      <c r="D196" s="200"/>
      <c r="E196" s="202"/>
      <c r="F196" s="191"/>
      <c r="G196" s="191"/>
      <c r="H196" s="235"/>
    </row>
    <row r="197" spans="1:8" s="154" customFormat="1" ht="19.5" customHeight="1">
      <c r="A197" s="198"/>
      <c r="B197" s="232"/>
      <c r="C197" s="8"/>
      <c r="D197" s="200"/>
      <c r="E197" s="202"/>
      <c r="F197" s="191"/>
      <c r="G197" s="191"/>
      <c r="H197" s="235"/>
    </row>
    <row r="198" spans="1:8" s="154" customFormat="1" ht="19.5" customHeight="1">
      <c r="A198" s="230"/>
      <c r="B198" s="246"/>
      <c r="C198" s="8"/>
      <c r="D198" s="239"/>
      <c r="E198" s="202"/>
      <c r="F198" s="191"/>
      <c r="G198" s="191"/>
      <c r="H198" s="187"/>
    </row>
    <row r="199" spans="1:8" s="153" customFormat="1" ht="48.75" customHeight="1">
      <c r="A199" s="138"/>
      <c r="B199" s="139" t="s">
        <v>1182</v>
      </c>
      <c r="C199" s="8"/>
      <c r="D199" s="169" t="s">
        <v>184</v>
      </c>
      <c r="E199" s="189"/>
      <c r="F199" s="192"/>
      <c r="G199" s="192"/>
      <c r="H199" s="140">
        <v>882.8</v>
      </c>
    </row>
    <row r="200" spans="1:8" s="154" customFormat="1" ht="86.25" customHeight="1">
      <c r="A200" s="36" t="s">
        <v>332</v>
      </c>
      <c r="B200" s="21" t="s">
        <v>280</v>
      </c>
      <c r="C200" s="8"/>
      <c r="D200" s="41" t="s">
        <v>894</v>
      </c>
      <c r="E200" s="17" t="s">
        <v>569</v>
      </c>
      <c r="F200" s="74" t="s">
        <v>173</v>
      </c>
      <c r="G200" s="74" t="s">
        <v>295</v>
      </c>
      <c r="H200" s="49">
        <v>29849</v>
      </c>
    </row>
    <row r="201" spans="1:8" s="154" customFormat="1" ht="50.25" customHeight="1">
      <c r="A201" s="215" t="s">
        <v>1061</v>
      </c>
      <c r="B201" s="28" t="s">
        <v>360</v>
      </c>
      <c r="C201" s="110"/>
      <c r="D201" s="115" t="s">
        <v>136</v>
      </c>
      <c r="E201" s="188" t="s">
        <v>1128</v>
      </c>
      <c r="F201" s="17" t="s">
        <v>222</v>
      </c>
      <c r="G201" s="188" t="s">
        <v>263</v>
      </c>
      <c r="H201" s="49">
        <v>336</v>
      </c>
    </row>
    <row r="202" spans="1:8" s="154" customFormat="1" ht="48.75" customHeight="1">
      <c r="A202" s="216"/>
      <c r="B202" s="7" t="s">
        <v>361</v>
      </c>
      <c r="C202" s="11"/>
      <c r="D202" s="40" t="s">
        <v>136</v>
      </c>
      <c r="E202" s="202"/>
      <c r="F202" s="3" t="s">
        <v>222</v>
      </c>
      <c r="G202" s="202"/>
      <c r="H202" s="47">
        <v>35.8</v>
      </c>
    </row>
    <row r="203" spans="1:8" s="154" customFormat="1" ht="37.5" customHeight="1">
      <c r="A203" s="216"/>
      <c r="B203" s="7" t="s">
        <v>362</v>
      </c>
      <c r="C203" s="11"/>
      <c r="D203" s="40" t="s">
        <v>136</v>
      </c>
      <c r="E203" s="202"/>
      <c r="F203" s="3" t="s">
        <v>222</v>
      </c>
      <c r="G203" s="202"/>
      <c r="H203" s="47">
        <v>0</v>
      </c>
    </row>
    <row r="204" spans="1:8" s="154" customFormat="1" ht="36.75" customHeight="1">
      <c r="A204" s="216"/>
      <c r="B204" s="7" t="s">
        <v>363</v>
      </c>
      <c r="C204" s="11"/>
      <c r="D204" s="40" t="s">
        <v>136</v>
      </c>
      <c r="E204" s="202"/>
      <c r="F204" s="3" t="s">
        <v>222</v>
      </c>
      <c r="G204" s="202"/>
      <c r="H204" s="47">
        <v>744</v>
      </c>
    </row>
    <row r="205" spans="1:8" s="154" customFormat="1" ht="135.75" customHeight="1">
      <c r="A205" s="216"/>
      <c r="B205" s="7" t="s">
        <v>457</v>
      </c>
      <c r="C205" s="11"/>
      <c r="D205" s="40" t="s">
        <v>136</v>
      </c>
      <c r="E205" s="202"/>
      <c r="F205" s="3" t="s">
        <v>222</v>
      </c>
      <c r="G205" s="202"/>
      <c r="H205" s="49">
        <v>0</v>
      </c>
    </row>
    <row r="206" spans="1:8" s="154" customFormat="1" ht="63.75" customHeight="1">
      <c r="A206" s="216"/>
      <c r="B206" s="28" t="s">
        <v>639</v>
      </c>
      <c r="C206" s="11"/>
      <c r="D206" s="40" t="s">
        <v>136</v>
      </c>
      <c r="E206" s="202"/>
      <c r="F206" s="3" t="s">
        <v>222</v>
      </c>
      <c r="G206" s="202"/>
      <c r="H206" s="49">
        <f>1100+305.5</f>
        <v>1405.5</v>
      </c>
    </row>
    <row r="207" spans="1:8" s="154" customFormat="1" ht="134.25" customHeight="1">
      <c r="A207" s="216"/>
      <c r="B207" s="7" t="s">
        <v>364</v>
      </c>
      <c r="C207" s="8"/>
      <c r="D207" s="40" t="s">
        <v>136</v>
      </c>
      <c r="E207" s="202"/>
      <c r="F207" s="3" t="s">
        <v>222</v>
      </c>
      <c r="G207" s="202"/>
      <c r="H207" s="49">
        <v>88.9</v>
      </c>
    </row>
    <row r="208" spans="1:8" s="154" customFormat="1" ht="23.25" customHeight="1" hidden="1">
      <c r="A208" s="38" t="s">
        <v>334</v>
      </c>
      <c r="B208" s="7" t="s">
        <v>333</v>
      </c>
      <c r="C208" s="11"/>
      <c r="D208" s="40"/>
      <c r="E208" s="3"/>
      <c r="F208" s="3"/>
      <c r="G208" s="19"/>
      <c r="H208" s="49"/>
    </row>
    <row r="209" spans="1:8" s="154" customFormat="1" ht="28.5" customHeight="1">
      <c r="A209" s="267" t="s">
        <v>335</v>
      </c>
      <c r="B209" s="268" t="s">
        <v>294</v>
      </c>
      <c r="C209" s="201"/>
      <c r="D209" s="199" t="s">
        <v>4</v>
      </c>
      <c r="E209" s="188" t="s">
        <v>570</v>
      </c>
      <c r="F209" s="188" t="s">
        <v>7</v>
      </c>
      <c r="G209" s="190" t="s">
        <v>571</v>
      </c>
      <c r="H209" s="186">
        <f>3410+14708</f>
        <v>18118</v>
      </c>
    </row>
    <row r="210" spans="1:8" s="154" customFormat="1" ht="28.5" customHeight="1">
      <c r="A210" s="267"/>
      <c r="B210" s="268"/>
      <c r="C210" s="201"/>
      <c r="D210" s="200"/>
      <c r="E210" s="202"/>
      <c r="F210" s="202"/>
      <c r="G210" s="191"/>
      <c r="H210" s="235"/>
    </row>
    <row r="211" spans="1:8" s="154" customFormat="1" ht="28.5" customHeight="1">
      <c r="A211" s="267"/>
      <c r="B211" s="268"/>
      <c r="C211" s="201"/>
      <c r="D211" s="239"/>
      <c r="E211" s="189"/>
      <c r="F211" s="189"/>
      <c r="G211" s="192"/>
      <c r="H211" s="187"/>
    </row>
    <row r="212" spans="1:8" s="154" customFormat="1" ht="103.5" customHeight="1">
      <c r="A212" s="35" t="s">
        <v>336</v>
      </c>
      <c r="B212" s="7" t="s">
        <v>307</v>
      </c>
      <c r="C212" s="8"/>
      <c r="D212" s="40" t="s">
        <v>12</v>
      </c>
      <c r="E212" s="3" t="s">
        <v>219</v>
      </c>
      <c r="F212" s="3" t="s">
        <v>7</v>
      </c>
      <c r="G212" s="6" t="s">
        <v>220</v>
      </c>
      <c r="H212" s="47">
        <v>7131.032</v>
      </c>
    </row>
    <row r="213" spans="1:8" s="154" customFormat="1" ht="98.25" customHeight="1">
      <c r="A213" s="35" t="s">
        <v>337</v>
      </c>
      <c r="B213" s="7" t="s">
        <v>306</v>
      </c>
      <c r="C213" s="8"/>
      <c r="D213" s="40" t="s">
        <v>12</v>
      </c>
      <c r="E213" s="3" t="s">
        <v>219</v>
      </c>
      <c r="F213" s="3" t="s">
        <v>273</v>
      </c>
      <c r="G213" s="6" t="s">
        <v>220</v>
      </c>
      <c r="H213" s="47">
        <v>171</v>
      </c>
    </row>
    <row r="214" spans="1:8" s="154" customFormat="1" ht="96" customHeight="1">
      <c r="A214" s="35" t="s">
        <v>338</v>
      </c>
      <c r="B214" s="7" t="s">
        <v>305</v>
      </c>
      <c r="C214" s="8"/>
      <c r="D214" s="40" t="s">
        <v>12</v>
      </c>
      <c r="E214" s="3" t="s">
        <v>1091</v>
      </c>
      <c r="F214" s="3" t="s">
        <v>77</v>
      </c>
      <c r="G214" s="6" t="s">
        <v>265</v>
      </c>
      <c r="H214" s="47">
        <f>250914.3+27438.7</f>
        <v>278353</v>
      </c>
    </row>
    <row r="215" spans="1:8" s="154" customFormat="1" ht="108.75" customHeight="1">
      <c r="A215" s="36" t="s">
        <v>339</v>
      </c>
      <c r="B215" s="21" t="s">
        <v>292</v>
      </c>
      <c r="C215" s="11"/>
      <c r="D215" s="41" t="s">
        <v>177</v>
      </c>
      <c r="E215" s="17" t="s">
        <v>572</v>
      </c>
      <c r="F215" s="24" t="s">
        <v>85</v>
      </c>
      <c r="G215" s="24" t="s">
        <v>370</v>
      </c>
      <c r="H215" s="49">
        <v>49</v>
      </c>
    </row>
    <row r="216" spans="1:8" s="154" customFormat="1" ht="130.5" customHeight="1">
      <c r="A216" s="36" t="s">
        <v>340</v>
      </c>
      <c r="B216" s="114" t="s">
        <v>296</v>
      </c>
      <c r="C216" s="11"/>
      <c r="D216" s="41" t="s">
        <v>177</v>
      </c>
      <c r="E216" s="17" t="s">
        <v>574</v>
      </c>
      <c r="F216" s="74" t="s">
        <v>191</v>
      </c>
      <c r="G216" s="74" t="s">
        <v>575</v>
      </c>
      <c r="H216" s="49">
        <v>21</v>
      </c>
    </row>
    <row r="217" spans="1:8" s="154" customFormat="1" ht="23.25" customHeight="1" hidden="1">
      <c r="A217" s="35" t="s">
        <v>341</v>
      </c>
      <c r="B217" s="7" t="s">
        <v>342</v>
      </c>
      <c r="C217" s="8"/>
      <c r="D217" s="40"/>
      <c r="E217" s="3"/>
      <c r="F217" s="6"/>
      <c r="G217" s="6"/>
      <c r="H217" s="49"/>
    </row>
    <row r="218" spans="1:8" s="154" customFormat="1" ht="101.25" customHeight="1">
      <c r="A218" s="36" t="s">
        <v>343</v>
      </c>
      <c r="B218" s="21" t="s">
        <v>169</v>
      </c>
      <c r="C218" s="8"/>
      <c r="D218" s="41" t="s">
        <v>116</v>
      </c>
      <c r="E218" s="17" t="s">
        <v>573</v>
      </c>
      <c r="F218" s="17" t="s">
        <v>222</v>
      </c>
      <c r="G218" s="17" t="s">
        <v>308</v>
      </c>
      <c r="H218" s="49">
        <v>0</v>
      </c>
    </row>
    <row r="219" spans="1:8" s="154" customFormat="1" ht="100.5" customHeight="1">
      <c r="A219" s="36" t="s">
        <v>354</v>
      </c>
      <c r="B219" s="21" t="s">
        <v>300</v>
      </c>
      <c r="C219" s="11"/>
      <c r="D219" s="41" t="s">
        <v>177</v>
      </c>
      <c r="E219" s="17" t="s">
        <v>640</v>
      </c>
      <c r="F219" s="17" t="s">
        <v>222</v>
      </c>
      <c r="G219" s="17" t="s">
        <v>175</v>
      </c>
      <c r="H219" s="49">
        <f>6254+121</f>
        <v>6375</v>
      </c>
    </row>
    <row r="220" spans="1:8" s="154" customFormat="1" ht="98.25" customHeight="1">
      <c r="A220" s="138" t="s">
        <v>355</v>
      </c>
      <c r="B220" s="139" t="s">
        <v>234</v>
      </c>
      <c r="C220" s="11"/>
      <c r="D220" s="40" t="s">
        <v>184</v>
      </c>
      <c r="E220" s="3" t="s">
        <v>576</v>
      </c>
      <c r="F220" s="3" t="s">
        <v>222</v>
      </c>
      <c r="G220" s="3" t="s">
        <v>197</v>
      </c>
      <c r="H220" s="140">
        <v>21.3</v>
      </c>
    </row>
    <row r="221" spans="1:8" s="154" customFormat="1" ht="100.5" customHeight="1">
      <c r="A221" s="84" t="s">
        <v>1062</v>
      </c>
      <c r="B221" s="136" t="s">
        <v>1063</v>
      </c>
      <c r="C221" s="137"/>
      <c r="D221" s="44" t="s">
        <v>184</v>
      </c>
      <c r="E221" s="18" t="s">
        <v>576</v>
      </c>
      <c r="F221" s="18" t="s">
        <v>222</v>
      </c>
      <c r="G221" s="18" t="s">
        <v>197</v>
      </c>
      <c r="H221" s="93">
        <v>425.5</v>
      </c>
    </row>
    <row r="222" spans="1:8" s="154" customFormat="1" ht="42" customHeight="1">
      <c r="A222" s="296" t="s">
        <v>1064</v>
      </c>
      <c r="B222" s="231" t="s">
        <v>1066</v>
      </c>
      <c r="C222" s="8"/>
      <c r="D222" s="41" t="s">
        <v>101</v>
      </c>
      <c r="E222" s="188" t="s">
        <v>546</v>
      </c>
      <c r="F222" s="188" t="s">
        <v>77</v>
      </c>
      <c r="G222" s="190" t="s">
        <v>547</v>
      </c>
      <c r="H222" s="49">
        <v>15435</v>
      </c>
    </row>
    <row r="223" spans="1:8" s="154" customFormat="1" ht="42" customHeight="1">
      <c r="A223" s="216"/>
      <c r="B223" s="232"/>
      <c r="C223" s="8"/>
      <c r="D223" s="42" t="s">
        <v>133</v>
      </c>
      <c r="E223" s="202"/>
      <c r="F223" s="202"/>
      <c r="G223" s="191"/>
      <c r="H223" s="50">
        <v>32708.3</v>
      </c>
    </row>
    <row r="224" spans="1:8" s="154" customFormat="1" ht="42" customHeight="1">
      <c r="A224" s="296" t="s">
        <v>340</v>
      </c>
      <c r="B224" s="231" t="s">
        <v>296</v>
      </c>
      <c r="C224" s="8"/>
      <c r="D224" s="41" t="s">
        <v>231</v>
      </c>
      <c r="E224" s="202"/>
      <c r="F224" s="202"/>
      <c r="G224" s="191"/>
      <c r="H224" s="50">
        <v>1877.9</v>
      </c>
    </row>
    <row r="225" spans="1:8" s="154" customFormat="1" ht="42" customHeight="1">
      <c r="A225" s="297"/>
      <c r="B225" s="246"/>
      <c r="C225" s="8"/>
      <c r="D225" s="44" t="s">
        <v>232</v>
      </c>
      <c r="E225" s="189"/>
      <c r="F225" s="189"/>
      <c r="G225" s="192"/>
      <c r="H225" s="54">
        <v>2443.3</v>
      </c>
    </row>
    <row r="226" spans="1:8" s="154" customFormat="1" ht="181.5" customHeight="1">
      <c r="A226" s="36" t="s">
        <v>356</v>
      </c>
      <c r="B226" s="21" t="s">
        <v>297</v>
      </c>
      <c r="C226" s="8"/>
      <c r="D226" s="41" t="s">
        <v>12</v>
      </c>
      <c r="E226" s="17" t="s">
        <v>568</v>
      </c>
      <c r="F226" s="17" t="s">
        <v>379</v>
      </c>
      <c r="G226" s="74" t="s">
        <v>584</v>
      </c>
      <c r="H226" s="49">
        <v>891.2</v>
      </c>
    </row>
    <row r="227" spans="1:8" s="154" customFormat="1" ht="99.75" customHeight="1">
      <c r="A227" s="36" t="s">
        <v>357</v>
      </c>
      <c r="B227" s="21" t="s">
        <v>304</v>
      </c>
      <c r="C227" s="8"/>
      <c r="D227" s="41" t="s">
        <v>177</v>
      </c>
      <c r="E227" s="17" t="s">
        <v>585</v>
      </c>
      <c r="F227" s="74" t="s">
        <v>222</v>
      </c>
      <c r="G227" s="74" t="s">
        <v>196</v>
      </c>
      <c r="H227" s="49">
        <v>1.1</v>
      </c>
    </row>
    <row r="228" spans="1:8" s="154" customFormat="1" ht="73.5" customHeight="1">
      <c r="A228" s="36" t="s">
        <v>358</v>
      </c>
      <c r="B228" s="21" t="s">
        <v>303</v>
      </c>
      <c r="C228" s="11"/>
      <c r="D228" s="41" t="s">
        <v>177</v>
      </c>
      <c r="E228" s="17" t="s">
        <v>586</v>
      </c>
      <c r="F228" s="17" t="s">
        <v>222</v>
      </c>
      <c r="G228" s="17" t="s">
        <v>250</v>
      </c>
      <c r="H228" s="49">
        <v>560</v>
      </c>
    </row>
    <row r="229" spans="1:8" s="154" customFormat="1" ht="84.75" customHeight="1">
      <c r="A229" s="36" t="s">
        <v>359</v>
      </c>
      <c r="B229" s="21" t="s">
        <v>288</v>
      </c>
      <c r="C229" s="15"/>
      <c r="D229" s="41" t="s">
        <v>200</v>
      </c>
      <c r="E229" s="17" t="s">
        <v>587</v>
      </c>
      <c r="F229" s="17" t="s">
        <v>62</v>
      </c>
      <c r="G229" s="17" t="s">
        <v>293</v>
      </c>
      <c r="H229" s="49">
        <f>538</f>
        <v>538</v>
      </c>
    </row>
    <row r="230" spans="1:8" s="153" customFormat="1" ht="96.75" customHeight="1">
      <c r="A230" s="37" t="s">
        <v>496</v>
      </c>
      <c r="B230" s="20" t="s">
        <v>1067</v>
      </c>
      <c r="C230" s="8"/>
      <c r="D230" s="77" t="s">
        <v>271</v>
      </c>
      <c r="E230" s="17" t="s">
        <v>590</v>
      </c>
      <c r="F230" s="17" t="s">
        <v>222</v>
      </c>
      <c r="G230" s="17" t="s">
        <v>591</v>
      </c>
      <c r="H230" s="142">
        <v>0</v>
      </c>
    </row>
    <row r="231" spans="1:8" s="153" customFormat="1" ht="84.75" customHeight="1">
      <c r="A231" s="83"/>
      <c r="B231" s="136"/>
      <c r="C231" s="8"/>
      <c r="D231" s="78"/>
      <c r="E231" s="25" t="s">
        <v>489</v>
      </c>
      <c r="F231" s="25" t="s">
        <v>173</v>
      </c>
      <c r="G231" s="63" t="s">
        <v>548</v>
      </c>
      <c r="H231" s="93"/>
    </row>
    <row r="232" spans="1:8" s="158" customFormat="1" ht="25.5" customHeight="1">
      <c r="A232" s="34" t="s">
        <v>39</v>
      </c>
      <c r="B232" s="227" t="s">
        <v>1123</v>
      </c>
      <c r="C232" s="228"/>
      <c r="D232" s="228"/>
      <c r="E232" s="228"/>
      <c r="F232" s="228"/>
      <c r="G232" s="229"/>
      <c r="H232" s="46">
        <f>SUM(H233:H248)</f>
        <v>5407.639999999999</v>
      </c>
    </row>
    <row r="233" spans="1:8" s="159" customFormat="1" ht="49.5" customHeight="1">
      <c r="A233" s="39"/>
      <c r="B233" s="7" t="s">
        <v>239</v>
      </c>
      <c r="C233" s="9"/>
      <c r="D233" s="40" t="s">
        <v>271</v>
      </c>
      <c r="E233" s="3" t="s">
        <v>1036</v>
      </c>
      <c r="F233" s="3" t="s">
        <v>275</v>
      </c>
      <c r="G233" s="3" t="s">
        <v>272</v>
      </c>
      <c r="H233" s="47">
        <v>191.74</v>
      </c>
    </row>
    <row r="234" spans="1:8" s="159" customFormat="1" ht="58.5" customHeight="1">
      <c r="A234" s="39"/>
      <c r="B234" s="105" t="s">
        <v>732</v>
      </c>
      <c r="C234" s="9"/>
      <c r="D234" s="40" t="s">
        <v>278</v>
      </c>
      <c r="E234" s="29" t="s">
        <v>733</v>
      </c>
      <c r="F234" s="29" t="s">
        <v>62</v>
      </c>
      <c r="G234" s="29" t="s">
        <v>734</v>
      </c>
      <c r="H234" s="47">
        <v>300</v>
      </c>
    </row>
    <row r="235" spans="1:8" s="159" customFormat="1" ht="47.25" customHeight="1">
      <c r="A235" s="39"/>
      <c r="B235" s="7" t="s">
        <v>238</v>
      </c>
      <c r="C235" s="9"/>
      <c r="D235" s="40" t="s">
        <v>271</v>
      </c>
      <c r="E235" s="3" t="s">
        <v>155</v>
      </c>
      <c r="F235" s="3" t="s">
        <v>65</v>
      </c>
      <c r="G235" s="3" t="s">
        <v>24</v>
      </c>
      <c r="H235" s="47">
        <v>29</v>
      </c>
    </row>
    <row r="236" spans="1:8" s="159" customFormat="1" ht="16.5" customHeight="1" outlineLevel="1">
      <c r="A236" s="300"/>
      <c r="B236" s="231" t="s">
        <v>1</v>
      </c>
      <c r="C236" s="9"/>
      <c r="D236" s="199" t="s">
        <v>271</v>
      </c>
      <c r="E236" s="188" t="s">
        <v>611</v>
      </c>
      <c r="F236" s="188" t="s">
        <v>103</v>
      </c>
      <c r="G236" s="188" t="s">
        <v>603</v>
      </c>
      <c r="H236" s="49">
        <v>310</v>
      </c>
    </row>
    <row r="237" spans="1:8" s="159" customFormat="1" ht="16.5" customHeight="1" outlineLevel="1">
      <c r="A237" s="301"/>
      <c r="B237" s="232"/>
      <c r="C237" s="9"/>
      <c r="D237" s="200"/>
      <c r="E237" s="202"/>
      <c r="F237" s="202"/>
      <c r="G237" s="202"/>
      <c r="H237" s="50">
        <v>0</v>
      </c>
    </row>
    <row r="238" spans="1:8" s="159" customFormat="1" ht="16.5" customHeight="1" outlineLevel="1">
      <c r="A238" s="302"/>
      <c r="B238" s="246"/>
      <c r="C238" s="9"/>
      <c r="D238" s="239"/>
      <c r="E238" s="189"/>
      <c r="F238" s="189"/>
      <c r="G238" s="189"/>
      <c r="H238" s="54">
        <v>0</v>
      </c>
    </row>
    <row r="239" spans="1:8" s="159" customFormat="1" ht="82.5" customHeight="1" outlineLevel="1">
      <c r="A239" s="39"/>
      <c r="B239" s="7" t="s">
        <v>285</v>
      </c>
      <c r="C239" s="9"/>
      <c r="D239" s="40" t="s">
        <v>271</v>
      </c>
      <c r="E239" s="188" t="s">
        <v>614</v>
      </c>
      <c r="F239" s="188" t="s">
        <v>222</v>
      </c>
      <c r="G239" s="188" t="s">
        <v>314</v>
      </c>
      <c r="H239" s="47">
        <v>380</v>
      </c>
    </row>
    <row r="240" spans="1:8" s="159" customFormat="1" ht="47.25" customHeight="1" outlineLevel="1">
      <c r="A240" s="39"/>
      <c r="B240" s="28" t="s">
        <v>497</v>
      </c>
      <c r="C240" s="9"/>
      <c r="D240" s="199" t="s">
        <v>271</v>
      </c>
      <c r="E240" s="202"/>
      <c r="F240" s="202"/>
      <c r="G240" s="202"/>
      <c r="H240" s="47">
        <v>0</v>
      </c>
    </row>
    <row r="241" spans="1:8" s="159" customFormat="1" ht="38.25" customHeight="1" outlineLevel="1">
      <c r="A241" s="38"/>
      <c r="B241" s="28" t="s">
        <v>1060</v>
      </c>
      <c r="C241" s="8"/>
      <c r="D241" s="239"/>
      <c r="E241" s="189"/>
      <c r="F241" s="189"/>
      <c r="G241" s="189"/>
      <c r="H241" s="47">
        <v>0</v>
      </c>
    </row>
    <row r="242" spans="1:8" s="155" customFormat="1" ht="50.25" customHeight="1">
      <c r="A242" s="79"/>
      <c r="B242" s="21" t="s">
        <v>46</v>
      </c>
      <c r="C242" s="15"/>
      <c r="D242" s="41" t="s">
        <v>278</v>
      </c>
      <c r="E242" s="30" t="s">
        <v>1139</v>
      </c>
      <c r="F242" s="26" t="s">
        <v>222</v>
      </c>
      <c r="G242" s="26" t="s">
        <v>1138</v>
      </c>
      <c r="H242" s="49">
        <v>386.5</v>
      </c>
    </row>
    <row r="243" spans="1:8" s="155" customFormat="1" ht="25.5" customHeight="1">
      <c r="A243" s="34"/>
      <c r="B243" s="7" t="s">
        <v>522</v>
      </c>
      <c r="C243" s="8"/>
      <c r="D243" s="40" t="s">
        <v>278</v>
      </c>
      <c r="E243" s="80" t="s">
        <v>518</v>
      </c>
      <c r="F243" s="26"/>
      <c r="G243" s="26"/>
      <c r="H243" s="47">
        <v>300</v>
      </c>
    </row>
    <row r="244" spans="1:8" s="155" customFormat="1" ht="89.25" customHeight="1">
      <c r="A244" s="211"/>
      <c r="B244" s="209" t="s">
        <v>1185</v>
      </c>
      <c r="C244" s="8"/>
      <c r="D244" s="213" t="s">
        <v>271</v>
      </c>
      <c r="E244" s="30" t="s">
        <v>1230</v>
      </c>
      <c r="F244" s="24" t="s">
        <v>1141</v>
      </c>
      <c r="G244" s="24" t="s">
        <v>1206</v>
      </c>
      <c r="H244" s="49">
        <v>1000</v>
      </c>
    </row>
    <row r="245" spans="1:8" s="155" customFormat="1" ht="108" customHeight="1">
      <c r="A245" s="212"/>
      <c r="B245" s="210"/>
      <c r="C245" s="8"/>
      <c r="D245" s="214"/>
      <c r="E245" s="177" t="s">
        <v>1231</v>
      </c>
      <c r="F245" s="25" t="s">
        <v>1232</v>
      </c>
      <c r="G245" s="25" t="s">
        <v>1233</v>
      </c>
      <c r="H245" s="54">
        <v>1000</v>
      </c>
    </row>
    <row r="246" spans="1:8" s="155" customFormat="1" ht="62.25" customHeight="1">
      <c r="A246" s="34"/>
      <c r="B246" s="28" t="s">
        <v>1216</v>
      </c>
      <c r="C246" s="8"/>
      <c r="D246" s="164" t="s">
        <v>224</v>
      </c>
      <c r="E246" s="80" t="s">
        <v>518</v>
      </c>
      <c r="F246" s="26"/>
      <c r="G246" s="26"/>
      <c r="H246" s="47">
        <v>64</v>
      </c>
    </row>
    <row r="247" spans="1:8" s="155" customFormat="1" ht="39" customHeight="1">
      <c r="A247" s="34"/>
      <c r="B247" s="28" t="s">
        <v>678</v>
      </c>
      <c r="C247" s="8"/>
      <c r="D247" s="164" t="s">
        <v>224</v>
      </c>
      <c r="E247" s="80" t="s">
        <v>518</v>
      </c>
      <c r="F247" s="26"/>
      <c r="G247" s="26"/>
      <c r="H247" s="47">
        <v>128</v>
      </c>
    </row>
    <row r="248" spans="1:8" s="155" customFormat="1" ht="28.5" customHeight="1">
      <c r="A248" s="34"/>
      <c r="B248" s="28" t="s">
        <v>1137</v>
      </c>
      <c r="C248" s="8"/>
      <c r="D248" s="164" t="s">
        <v>864</v>
      </c>
      <c r="E248" s="80" t="s">
        <v>518</v>
      </c>
      <c r="F248" s="26"/>
      <c r="G248" s="26"/>
      <c r="H248" s="47">
        <v>1318.4</v>
      </c>
    </row>
    <row r="249" spans="1:8" s="153" customFormat="1" ht="23.25" customHeight="1">
      <c r="A249" s="39"/>
      <c r="B249" s="303" t="s">
        <v>1124</v>
      </c>
      <c r="C249" s="304"/>
      <c r="D249" s="304"/>
      <c r="E249" s="304"/>
      <c r="F249" s="304"/>
      <c r="G249" s="305"/>
      <c r="H249" s="46">
        <f>H6+H189+H232+H153</f>
        <v>1030451.3114199999</v>
      </c>
    </row>
    <row r="250" spans="1:23" s="170" customFormat="1" ht="8.25" customHeight="1">
      <c r="A250" s="5"/>
      <c r="B250" s="5"/>
      <c r="C250" s="5"/>
      <c r="D250" s="5"/>
      <c r="E250" s="5"/>
      <c r="F250" s="5"/>
      <c r="G250" s="5"/>
      <c r="H250" s="5"/>
      <c r="N250" s="152"/>
      <c r="O250" s="152"/>
      <c r="P250" s="152"/>
      <c r="Q250" s="152"/>
      <c r="R250" s="152"/>
      <c r="S250" s="152"/>
      <c r="T250" s="152"/>
      <c r="U250" s="152"/>
      <c r="V250" s="152"/>
      <c r="W250" s="152"/>
    </row>
    <row r="251" spans="1:23" s="170" customFormat="1" ht="38.25" customHeight="1">
      <c r="A251" s="5"/>
      <c r="B251" s="5"/>
      <c r="C251" s="5"/>
      <c r="D251" s="5"/>
      <c r="E251" s="101"/>
      <c r="F251" s="101"/>
      <c r="G251" s="101"/>
      <c r="H251" s="5"/>
      <c r="N251" s="152"/>
      <c r="O251" s="152"/>
      <c r="P251" s="152"/>
      <c r="Q251" s="152"/>
      <c r="R251" s="152"/>
      <c r="S251" s="152"/>
      <c r="T251" s="152"/>
      <c r="U251" s="152"/>
      <c r="V251" s="152"/>
      <c r="W251" s="152"/>
    </row>
    <row r="252" spans="1:8" s="153" customFormat="1" ht="15" customHeight="1">
      <c r="A252" s="95"/>
      <c r="B252" s="95" t="s">
        <v>1218</v>
      </c>
      <c r="C252" s="95"/>
      <c r="D252" s="163"/>
      <c r="E252" s="307"/>
      <c r="F252" s="307"/>
      <c r="G252" s="307"/>
      <c r="H252" s="4"/>
    </row>
    <row r="253" spans="1:8" s="153" customFormat="1" ht="22.5" customHeight="1">
      <c r="A253" s="4"/>
      <c r="B253" s="4"/>
      <c r="C253" s="4"/>
      <c r="D253" s="99"/>
      <c r="E253" s="162"/>
      <c r="F253" s="308"/>
      <c r="G253" s="308"/>
      <c r="H253" s="98"/>
    </row>
    <row r="254" spans="1:8" s="153" customFormat="1" ht="20.25" customHeight="1">
      <c r="A254" s="4"/>
      <c r="B254" s="4"/>
      <c r="C254" s="4"/>
      <c r="D254" s="4"/>
      <c r="E254" s="100"/>
      <c r="F254" s="4"/>
      <c r="G254" s="99"/>
      <c r="H254" s="4"/>
    </row>
  </sheetData>
  <sheetProtection/>
  <autoFilter ref="A4:H249"/>
  <mergeCells count="232">
    <mergeCell ref="E252:G252"/>
    <mergeCell ref="F253:G253"/>
    <mergeCell ref="F239:F241"/>
    <mergeCell ref="G239:G241"/>
    <mergeCell ref="D240:D241"/>
    <mergeCell ref="G236:G238"/>
    <mergeCell ref="E239:E241"/>
    <mergeCell ref="A236:A238"/>
    <mergeCell ref="B236:B238"/>
    <mergeCell ref="D236:D238"/>
    <mergeCell ref="B249:G249"/>
    <mergeCell ref="H209:H211"/>
    <mergeCell ref="A222:A225"/>
    <mergeCell ref="B222:B225"/>
    <mergeCell ref="E209:E211"/>
    <mergeCell ref="F209:F211"/>
    <mergeCell ref="A244:A245"/>
    <mergeCell ref="B244:B245"/>
    <mergeCell ref="D244:D245"/>
    <mergeCell ref="E236:E238"/>
    <mergeCell ref="F236:F238"/>
    <mergeCell ref="B232:G232"/>
    <mergeCell ref="G201:G207"/>
    <mergeCell ref="A209:A211"/>
    <mergeCell ref="B209:B211"/>
    <mergeCell ref="C209:C211"/>
    <mergeCell ref="D209:D211"/>
    <mergeCell ref="G209:G211"/>
    <mergeCell ref="E222:E225"/>
    <mergeCell ref="F222:F225"/>
    <mergeCell ref="G222:G225"/>
    <mergeCell ref="H193:H198"/>
    <mergeCell ref="A201:A207"/>
    <mergeCell ref="E193:E199"/>
    <mergeCell ref="F193:F199"/>
    <mergeCell ref="G193:G199"/>
    <mergeCell ref="B189:G189"/>
    <mergeCell ref="A193:A198"/>
    <mergeCell ref="B193:B198"/>
    <mergeCell ref="D193:D198"/>
    <mergeCell ref="E201:E207"/>
    <mergeCell ref="E158:E159"/>
    <mergeCell ref="F158:F159"/>
    <mergeCell ref="G158:G159"/>
    <mergeCell ref="H157:H158"/>
    <mergeCell ref="B153:G153"/>
    <mergeCell ref="A157:A158"/>
    <mergeCell ref="B157:B158"/>
    <mergeCell ref="D157:D159"/>
    <mergeCell ref="F149:F152"/>
    <mergeCell ref="G149:G152"/>
    <mergeCell ref="A151:A152"/>
    <mergeCell ref="B151:B152"/>
    <mergeCell ref="B142:G142"/>
    <mergeCell ref="A144:A149"/>
    <mergeCell ref="E149:E152"/>
    <mergeCell ref="H139:H140"/>
    <mergeCell ref="B137:G137"/>
    <mergeCell ref="A139:A141"/>
    <mergeCell ref="B139:B141"/>
    <mergeCell ref="D139:D141"/>
    <mergeCell ref="E133:E134"/>
    <mergeCell ref="F133:F134"/>
    <mergeCell ref="G133:G134"/>
    <mergeCell ref="H130:H131"/>
    <mergeCell ref="B132:G132"/>
    <mergeCell ref="A133:A134"/>
    <mergeCell ref="B133:B134"/>
    <mergeCell ref="H124:H125"/>
    <mergeCell ref="A130:A131"/>
    <mergeCell ref="B130:B131"/>
    <mergeCell ref="D130:D131"/>
    <mergeCell ref="B123:G123"/>
    <mergeCell ref="A124:A125"/>
    <mergeCell ref="B124:B125"/>
    <mergeCell ref="D124:D125"/>
    <mergeCell ref="B121:G121"/>
    <mergeCell ref="G119:G120"/>
    <mergeCell ref="H119:H120"/>
    <mergeCell ref="B116:G116"/>
    <mergeCell ref="B118:G118"/>
    <mergeCell ref="A119:A120"/>
    <mergeCell ref="B119:B120"/>
    <mergeCell ref="D119:D120"/>
    <mergeCell ref="E119:E120"/>
    <mergeCell ref="F119:F120"/>
    <mergeCell ref="E109:E111"/>
    <mergeCell ref="F109:F111"/>
    <mergeCell ref="G109:G111"/>
    <mergeCell ref="B112:G112"/>
    <mergeCell ref="B114:G114"/>
    <mergeCell ref="B108:G108"/>
    <mergeCell ref="D109:D111"/>
    <mergeCell ref="E106:E107"/>
    <mergeCell ref="F106:F107"/>
    <mergeCell ref="G106:G107"/>
    <mergeCell ref="H106:H107"/>
    <mergeCell ref="B104:G104"/>
    <mergeCell ref="A105:A107"/>
    <mergeCell ref="B105:B107"/>
    <mergeCell ref="C106:C107"/>
    <mergeCell ref="D106:D107"/>
    <mergeCell ref="B102:G102"/>
    <mergeCell ref="H96:H97"/>
    <mergeCell ref="C96:C97"/>
    <mergeCell ref="D96:D97"/>
    <mergeCell ref="E96:E97"/>
    <mergeCell ref="F96:F97"/>
    <mergeCell ref="G96:G97"/>
    <mergeCell ref="H94:H95"/>
    <mergeCell ref="B92:G92"/>
    <mergeCell ref="A94:A97"/>
    <mergeCell ref="B94:B97"/>
    <mergeCell ref="D94:D95"/>
    <mergeCell ref="H88:H89"/>
    <mergeCell ref="A88:A89"/>
    <mergeCell ref="B88:B89"/>
    <mergeCell ref="D88:D89"/>
    <mergeCell ref="A81:A82"/>
    <mergeCell ref="B81:B82"/>
    <mergeCell ref="C79:C80"/>
    <mergeCell ref="E79:E80"/>
    <mergeCell ref="F79:F80"/>
    <mergeCell ref="G79:G80"/>
    <mergeCell ref="H81:H82"/>
    <mergeCell ref="H77:H80"/>
    <mergeCell ref="A77:A80"/>
    <mergeCell ref="B77:B80"/>
    <mergeCell ref="D77:D80"/>
    <mergeCell ref="F74:F76"/>
    <mergeCell ref="G74:G76"/>
    <mergeCell ref="A74:A76"/>
    <mergeCell ref="B74:B76"/>
    <mergeCell ref="E74:E76"/>
    <mergeCell ref="H65:H68"/>
    <mergeCell ref="C67:C68"/>
    <mergeCell ref="E67:E68"/>
    <mergeCell ref="F67:F68"/>
    <mergeCell ref="G67:G68"/>
    <mergeCell ref="B65:B66"/>
    <mergeCell ref="E63:E64"/>
    <mergeCell ref="F63:F64"/>
    <mergeCell ref="G63:G64"/>
    <mergeCell ref="C60:C61"/>
    <mergeCell ref="A63:A64"/>
    <mergeCell ref="B63:B64"/>
    <mergeCell ref="C63:C64"/>
    <mergeCell ref="H58:H61"/>
    <mergeCell ref="E59:E61"/>
    <mergeCell ref="F59:F61"/>
    <mergeCell ref="G59:G61"/>
    <mergeCell ref="B57:G57"/>
    <mergeCell ref="C58:C59"/>
    <mergeCell ref="H51:H52"/>
    <mergeCell ref="B50:G50"/>
    <mergeCell ref="A51:A52"/>
    <mergeCell ref="B51:B52"/>
    <mergeCell ref="D51:D52"/>
    <mergeCell ref="H48:H49"/>
    <mergeCell ref="A48:A49"/>
    <mergeCell ref="B48:B49"/>
    <mergeCell ref="D48:D49"/>
    <mergeCell ref="H46:H47"/>
    <mergeCell ref="A46:A47"/>
    <mergeCell ref="B46:B47"/>
    <mergeCell ref="D46:D47"/>
    <mergeCell ref="H44:H45"/>
    <mergeCell ref="B43:G43"/>
    <mergeCell ref="A44:A45"/>
    <mergeCell ref="B44:B45"/>
    <mergeCell ref="D44:D45"/>
    <mergeCell ref="B41:G41"/>
    <mergeCell ref="H39:H40"/>
    <mergeCell ref="B39:B40"/>
    <mergeCell ref="D39:D40"/>
    <mergeCell ref="H34:H36"/>
    <mergeCell ref="B38:G38"/>
    <mergeCell ref="B33:G33"/>
    <mergeCell ref="A34:A36"/>
    <mergeCell ref="B34:B36"/>
    <mergeCell ref="D34:D36"/>
    <mergeCell ref="E34:E36"/>
    <mergeCell ref="F34:F36"/>
    <mergeCell ref="G34:G36"/>
    <mergeCell ref="H28:H30"/>
    <mergeCell ref="C29:C30"/>
    <mergeCell ref="E29:E30"/>
    <mergeCell ref="F29:F30"/>
    <mergeCell ref="G29:G30"/>
    <mergeCell ref="B27:G27"/>
    <mergeCell ref="H22:H25"/>
    <mergeCell ref="A22:A25"/>
    <mergeCell ref="B22:B25"/>
    <mergeCell ref="D22:D25"/>
    <mergeCell ref="E22:E25"/>
    <mergeCell ref="F22:F25"/>
    <mergeCell ref="G22:G25"/>
    <mergeCell ref="G20:G21"/>
    <mergeCell ref="A19:A21"/>
    <mergeCell ref="B19:B21"/>
    <mergeCell ref="A28:A30"/>
    <mergeCell ref="B28:B30"/>
    <mergeCell ref="D28:D30"/>
    <mergeCell ref="H19:H21"/>
    <mergeCell ref="C15:C16"/>
    <mergeCell ref="B18:G18"/>
    <mergeCell ref="A14:A16"/>
    <mergeCell ref="D14:D16"/>
    <mergeCell ref="H14:H15"/>
    <mergeCell ref="C20:C21"/>
    <mergeCell ref="D20:D21"/>
    <mergeCell ref="E20:E21"/>
    <mergeCell ref="F20:F21"/>
    <mergeCell ref="D10:D11"/>
    <mergeCell ref="H10:H11"/>
    <mergeCell ref="C11:C12"/>
    <mergeCell ref="E11:E12"/>
    <mergeCell ref="F11:F12"/>
    <mergeCell ref="G11:G12"/>
    <mergeCell ref="E9:E10"/>
    <mergeCell ref="F9:F10"/>
    <mergeCell ref="G9:G10"/>
    <mergeCell ref="B5:G5"/>
    <mergeCell ref="B6:G6"/>
    <mergeCell ref="B7:G7"/>
    <mergeCell ref="A9:A12"/>
    <mergeCell ref="B9:B10"/>
    <mergeCell ref="A1:H1"/>
    <mergeCell ref="A2:B3"/>
    <mergeCell ref="D2:D3"/>
    <mergeCell ref="E2:G2"/>
    <mergeCell ref="H2:H3"/>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H222:H230 H232:H249 H212:H220 H200:H209 H189:H193 H160:H164 H132:H157 H108:H130 H98:H106 H62:H65 H31:H34 H69:H74 H77:H78 H48:H58 H37:H39 H41:H46 H22:H28 H17:H19 H12:H14 H5:H9 H81 H83:H88 H90:H96">
      <formula1>-100000000000</formula1>
    </dataValidation>
  </dataValidations>
  <printOptions/>
  <pageMargins left="0.1968503937007874" right="0" top="0.3937007874015748" bottom="0.1968503937007874" header="0.15748031496062992" footer="0.1574803149606299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oev</dc:creator>
  <cp:keywords/>
  <dc:description/>
  <cp:lastModifiedBy>Римма В. Иоч</cp:lastModifiedBy>
  <cp:lastPrinted>2013-06-05T03:59:52Z</cp:lastPrinted>
  <dcterms:created xsi:type="dcterms:W3CDTF">2007-09-24T09:40:27Z</dcterms:created>
  <dcterms:modified xsi:type="dcterms:W3CDTF">2013-06-05T04:25:16Z</dcterms:modified>
  <cp:category/>
  <cp:version/>
  <cp:contentType/>
  <cp:contentStatus/>
</cp:coreProperties>
</file>