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tabRatio="570" activeTab="0"/>
  </bookViews>
  <sheets>
    <sheet name="Район на 01.05.2011" sheetId="1" r:id="rId1"/>
    <sheet name="ИМБТ посел 2011" sheetId="2" r:id="rId2"/>
  </sheets>
  <definedNames>
    <definedName name="_xlnm._FilterDatabase" localSheetId="1" hidden="1">'ИМБТ посел 2011'!$A$3:$G$117</definedName>
    <definedName name="_xlnm._FilterDatabase" localSheetId="0" hidden="1">'Район на 01.05.2011'!$A$4:$R$252</definedName>
    <definedName name="_xlnm.Print_Area" localSheetId="1">'ИМБТ посел 2011'!$A$1:$H$117</definedName>
  </definedNames>
  <calcPr fullCalcOnLoad="1"/>
</workbook>
</file>

<file path=xl/sharedStrings.xml><?xml version="1.0" encoding="utf-8"?>
<sst xmlns="http://schemas.openxmlformats.org/spreadsheetml/2006/main" count="1760" uniqueCount="1006">
  <si>
    <t xml:space="preserve">п.4 Программы </t>
  </si>
  <si>
    <t>Решение Думы Колпашевского района от 10.12.2008 № 578 " О бюджете муниципального образования "Колпашевский район" на 2009 год" (в редакции от 18.06.2009 № 665)</t>
  </si>
  <si>
    <t>Решение Думы Колпашевского района от 10.12.2008 № 578 " О бюджете муниципального образования "Колпашевский район" на 2009 год" (в редакции  от 28.08.2009 № 688)</t>
  </si>
  <si>
    <t>Иные межбюджетные трансферты на осуществление расчёта с ОАО "Монтажкомплект"за выполненные аварийно-восстановительные работы работы оборудования котельной "Лазо" г. Колпашево, ул. Крылова, 9 (в соответствии с распоряжением Администрации ТО от 25.01.2010 № 42-ра) за счёт средств субсидии</t>
  </si>
  <si>
    <t>Расходы за счет субсидии на обеспечение жильем молодых семей  на обеспечение специалистов, проживающих в сельской местности (по федеральной целевой программе "Социальное развитие села до 2010 года")</t>
  </si>
  <si>
    <t xml:space="preserve">п. 1-3; п. 2-3 Положения </t>
  </si>
  <si>
    <t>Расходы на выплату стипендии Губернатора ТО лучшим учителям МОУ ТО за счет средств ИМБТ из областного бюджета</t>
  </si>
  <si>
    <t>Решение Думы Колпашевского района от 24.05.2010 № 840 "О порядке использования средств ИМБТ на выплату в 2010 году стипендии Губернатора Томской области лучшим учителям МОУ"</t>
  </si>
  <si>
    <t xml:space="preserve"> Решение Думы Колпашевского района  от 24.03.2008 № 447 "О порядке использования средств субсидии из областногобюджета на финансирование расходов, связанных с обеспечением условий для развития физической культуры и массового  спорта на территории муниципального образования "колпашевский район" (в редакции от 27.10.2008 № 549)</t>
  </si>
  <si>
    <t>Решение Думы Колпашевского района  от 10.12.2008 № 578" О бюджете муниципального образования "Колпашевский район" на 2009 год" (в редакции  от 18.06.2009 № 665)</t>
  </si>
  <si>
    <t>2.1.</t>
  </si>
  <si>
    <t>Расходы на реализацию мер по улучшению жилищных условий граждан, проживающих в сельской местности</t>
  </si>
  <si>
    <t>2011 год</t>
  </si>
  <si>
    <t>Расходы на оплату членских взносов Ассоциации "Совет муниципальных образований Томской области"</t>
  </si>
  <si>
    <t>Решение Думы Колпашевского района от 28.10.2009 № 717 "Об использовании средств местного бюджета на финансирование расходов, связанных с проведением экспертизы при осуществлении лицензирования образовательной деятельности муниципальных образовательных учреждений Колпашевского района"</t>
  </si>
  <si>
    <t>01.01.2010, не установлен</t>
  </si>
  <si>
    <t>0709</t>
  </si>
  <si>
    <t>Решение Думы Колпашевского района от 13.07.2010 № 875 "Об утвержлении Положения о порядке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муниципального образования "Колпашевский район" (в редакции от 23.08.2010 № 914)</t>
  </si>
  <si>
    <t>Постановление Главы Колпашевского района от 16.05.2008 № 406 "Об утверждении Порядка использования бюджетных ассигнований резервного фонда Администрации Колпашевского района" (в редакции от 12.09.2008 № 820, от 19.01.2009 № 12)</t>
  </si>
  <si>
    <t>Расходные обязательства, возникшие в результате реализации органами местного самоуправления муниципальных районов делегированных полномочий за счет субвенций, переданных с другого уровня бюджетной системы</t>
  </si>
  <si>
    <t>Расходы на частичную компенсацию расходов граждан, проживающим на территории г.Колпашево и с.Тогур Колпашевского района, на газификацию жилья</t>
  </si>
  <si>
    <t>Решение Думы Колпашевского района от 17.06.2010 № 865 "О порядке расходования средств на газификацию жилья г.Колпашево и с.Тогур"</t>
  </si>
  <si>
    <t>17.06.2010-31.12.2011</t>
  </si>
  <si>
    <t>01.05.2010-31.12.2010</t>
  </si>
  <si>
    <t>Решение Думы Колпашевского района от 10.12.2008 № 578 "О бюджете муниципального образования "Колпашевский район" на 2009 год", решение Думы Колпашевского районаот 27.03.2009 № 631 "О порядке использования средств субсидии на комплектование книжных фондов библиотек муниципальных образований  в Колпашевском районе"</t>
  </si>
  <si>
    <t xml:space="preserve">Закон Томской области от 14 июня 2000 г. N 24-ОЗ "О государственной молодежной политике в Томской области" </t>
  </si>
  <si>
    <t>гл. 5</t>
  </si>
  <si>
    <t>30.06.2000, не установлен</t>
  </si>
  <si>
    <t>Гл.3, ст.15</t>
  </si>
  <si>
    <t xml:space="preserve">О компенсации расходов на питание учащимся из малообеспеченных семей </t>
  </si>
  <si>
    <t>п.1-3</t>
  </si>
  <si>
    <t>2.1.10.</t>
  </si>
  <si>
    <t>владение, пользование и распоряжение имуществом, находящимся в муниципальной собственности муниципального района</t>
  </si>
  <si>
    <t>Расходы на организацию и содержание мест захоронения отходов</t>
  </si>
  <si>
    <t>0503</t>
  </si>
  <si>
    <t>0702</t>
  </si>
  <si>
    <t>2.1.30.</t>
  </si>
  <si>
    <t>Решение Думы Колпашевского района от 10.12.2008 № 578" О бюджете муниципального образования "Колпашевский район" на 2009 год" (в редакции от 28.08.2009 № 688);  решения Думы Колпашевского района от 16.01.2009 № 593 "О порядке использования средств субсидии  на компенсацию расходов по организации электроснабжения от дизельных электростанций в муниципальном образовании "Колпашевский район" в 2009 году"</t>
  </si>
  <si>
    <t>Решение Думы Колпашевского района от  08.09.2008 № 536 "О компенсации расходов по организации теплоснабжения  энергоснабжающими организациями, использующими в качестве топлива нефть или мазут (в редакции от 21.09.2009 № 710)</t>
  </si>
  <si>
    <t>Компенсация расходов по оплате стоимости проезда и провоза багажа, в пределах РФ, к месту использования отпуска и обратно</t>
  </si>
  <si>
    <t>Решение Думы Колпашевского района от 28.02.2006 № 82 "О вступлении в Совет Муниципальных образований Томской области" (в редакции от 22.12.2006 № 255, от 26.02.2010 № 814 )</t>
  </si>
  <si>
    <t>Иные межбюджетные трансферты на теплотрассы к зданию МОУ "СОШ № 1"</t>
  </si>
  <si>
    <t>Иные межбюджетные трансферты на ремонт крыши котельной "НГСС"</t>
  </si>
  <si>
    <t>Иные межбюджетные трансферты на подготовку объектов ЖКХ, находящихся в муниципальной собственности Новоселовского поселения, к зиме</t>
  </si>
  <si>
    <t>Иные межбюджетные трансферты на ремонт системы водоснабжения к зданию МОУ "СОШ № 1"</t>
  </si>
  <si>
    <t>Иные межбюджетные трансферты на организацию системы теплоснабжения в доме культуры с.Новоильинка</t>
  </si>
  <si>
    <t>Иные межбюджетные трансферты на строительство сетей электроснабжения по ул. Дзержинского г.Колпашево</t>
  </si>
  <si>
    <t>Иные межбюджетные трансферты на проектирование и строительство газораспределительных сетей многоквартирных домов</t>
  </si>
  <si>
    <t>Иные межбюджетные трансферты на приобретение нового двигателя на автомобиль УАЗ-3154</t>
  </si>
  <si>
    <t>Иные межбюджетные трансферты на подготовку к пятой летней межпоселенческой спартакиаде в с. Инкино</t>
  </si>
  <si>
    <t>Иные межбюджетные трансферты на расходы, связанные с организацией дополнительного освещения помещений Новоселовского сельского дома культуры</t>
  </si>
  <si>
    <t>Иные межбюджетные трансферты на ремонт муниципального жилья поселений Колпашевского района</t>
  </si>
  <si>
    <t>Иные межбюджетные трансферты на приобретение затворов на станцию обезжелезивания г.Колпашево</t>
  </si>
  <si>
    <t>Иные межбюджетные трансферты на укрепление материально-технической базы МУ "Центр культуры и досуга" (в соответствии с распоряжением Администрации ТО от 22.04.2010 № 24-р-в) за счет средств субсидии</t>
  </si>
  <si>
    <t>Иные межбюджетные трансферты на введение новых систем оплат труда работников муниципальных бюджетных учреждений за счет средств иных межбюджетных трансфертов</t>
  </si>
  <si>
    <t xml:space="preserve">Иные межбюджетные трансферты на осуществление полномочий по первичному воинскому учету на территориях, где отсутствуют военные коммиссариаты  </t>
  </si>
  <si>
    <t>организация и осуществление мероприятий по гражданской обороне, защите населения и территории муниципального района от чрезвычайных ситуаций природного и техногенного характера</t>
  </si>
  <si>
    <t>2.1.6.</t>
  </si>
  <si>
    <t>Наименование субсидий и субвенций</t>
  </si>
  <si>
    <t>организация и осуществление мероприятий по мобилизационной подготовке муниципальных предприятий и учреждений, находящихся на межселенных территориях</t>
  </si>
  <si>
    <t>2.1.36.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</si>
  <si>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</si>
  <si>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 xml:space="preserve">п.2-4 Положения </t>
  </si>
  <si>
    <t xml:space="preserve">01.01.2006, не установлен </t>
  </si>
  <si>
    <t xml:space="preserve">п.3-4 Порядка </t>
  </si>
  <si>
    <t xml:space="preserve">16.05.2008, не установлен </t>
  </si>
  <si>
    <t>Решение Думы Колпашевского района от 14.07.2006 № 176 "О финансировании расходов, связанных с размещением заказа на поставку товаров, выполнение работ и оказание услуг для муниципальных нужд" (в редакции от 28.04.2008 № 467)</t>
  </si>
  <si>
    <t>формирование, утверждение, исполнение бюджета муниципального района, контроль за исполнением данного бюджета</t>
  </si>
  <si>
    <t>01.03.2010-31.12.2010</t>
  </si>
  <si>
    <t>Расходы  на ремонт и (или) переустройство жилых помещений участников ВОв 1941-1945 годов, лиц, награждённых знаком "Жителю блокадного Ленинграда", бывших несовершеннолетних узников концлагерей, признанных инвалидами, вдов погибших (умерших) участников ВОв 1941-1945 годов, не вступивших в повторный брак</t>
  </si>
  <si>
    <t>Оказание первичной медико-санитарной помощи, медицинской помощи женщинам в период беременности, во время и после родов и скорой медицинской помощи (за исключением санитарно-авиационной) на территории Колпашевского района</t>
  </si>
  <si>
    <t>Расходы, связанные с ликвидацией МУ "Специальный дом для ветеранов войны и труда, семей пожилого возраста и инвалидов"</t>
  </si>
  <si>
    <t xml:space="preserve">п.2-3 Положения </t>
  </si>
  <si>
    <t>31.10.2006, не установлен</t>
  </si>
  <si>
    <t>п.6 Программы</t>
  </si>
  <si>
    <t>2.1.1.</t>
  </si>
  <si>
    <t>ст. 3,5</t>
  </si>
  <si>
    <t>08.05.2006, вводиться ежегодно ЗТО "Об областном бюджете на очередной финансовый год"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</si>
  <si>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уровней, кроме дотаций</t>
  </si>
  <si>
    <t>01.06.07, не установлен</t>
  </si>
  <si>
    <t>01.01.2006, не установлен</t>
  </si>
  <si>
    <t>Федеральный Закон от 06.10.2003 № 131-ФЗ "Об общих принципах организации местного самоуправления"</t>
  </si>
  <si>
    <t>16.10.2003, не установлен</t>
  </si>
  <si>
    <t>осуществление в пределах, установленных водным законодательством Российской Федерации, полномочий собственника водных объектов, установление правил использования водных объектов общего пользования для личных и бытовых нужд</t>
  </si>
  <si>
    <t>п.6-7</t>
  </si>
  <si>
    <t>2.1.19.</t>
  </si>
  <si>
    <t>2.1.7.</t>
  </si>
  <si>
    <t>п.1-3 Положения</t>
  </si>
  <si>
    <t>гр.17</t>
  </si>
  <si>
    <t>выравнивание уровня бюджетной обеспеченности поселений, входящих в состав муниципального района, за счет средств бюджета муниципального района</t>
  </si>
  <si>
    <t>создание, развитие и обеспечение охраны лечебно-оздоровительных местностей и курортов местного значения на территории муниципального района</t>
  </si>
  <si>
    <t>Закон РФ от 19 февраля 1993 г. N 4520-I "О государственных гарантиях и компенсациях для лиц, работающих и проживающих в районах Крайнего Севера и приравненных к ним местностях"</t>
  </si>
  <si>
    <t>2.1.8.</t>
  </si>
  <si>
    <t>вводиться ежегодно ЗТО "Об областном бюджете на очередной финансовый год"</t>
  </si>
  <si>
    <t>Расходы на проведение мероприятий для детей и молодежи</t>
  </si>
  <si>
    <t>2.4.</t>
  </si>
  <si>
    <t>2.1.24.</t>
  </si>
  <si>
    <t>Гл.3, ст.15, п.1, п.п.7</t>
  </si>
  <si>
    <t>Гл.3, ст.15, п.1, п.п.12</t>
  </si>
  <si>
    <t>Гл.3, ст.15, п.1, п.п.20</t>
  </si>
  <si>
    <t>Гл.3, ст.15, п.1, п.п.26</t>
  </si>
  <si>
    <t>Гл.3, ст.15, п.1, п.п.27</t>
  </si>
  <si>
    <t>Решение Думы Колпашевскогорайона от 13.02.2009 № 615 "О распределении и порядке использования средств иных межбюджетных трансфертов за счет субсидии областного бюджета и иных межбюджетных трансфертов из бюджета муниципального образования "Колпашевский район"на дорожную деятельность в отношении автомобильных дорог местного значения,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РФ между бюджетами поселений Колпашевского района"</t>
  </si>
  <si>
    <t xml:space="preserve">Наименоваание НПА </t>
  </si>
  <si>
    <t>Устав Колпашевского района (в редакции от 13.02.209 № 617, от 07.12.2009 № 746)</t>
  </si>
  <si>
    <t xml:space="preserve">Решение Думы Колпашевского района от 28.02.2008 № 441 "О порядке финансирования муниципального учреждения здравоохранения  "Колпашевская ЦРБ" </t>
  </si>
  <si>
    <t>2.1.35.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</si>
  <si>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</si>
  <si>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выдача разрешений на установку рекламных конструкций на территории муниципального района, аннулирование таких разрешений, выдача предписаний о демонтаже самовольно установленных вновь рекламных конструкций на территории муниципального района, осуществляем</t>
  </si>
  <si>
    <t>Расходы на предоставление субсидий некоммерческим организациям, не являющимися бюджетными учреждениями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</si>
  <si>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</si>
  <si>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Решение Думы Колпашевского района от 26.12.2007 № 401 "О порядке расходования средств местного бюджета на финансирование проведения муниципальных выборов"</t>
  </si>
  <si>
    <t>Решение Думы Колпашевского района от 13.02.2009 № 613 "О районной целевой программе "Предоставление  молодым семьям государственной поддержки  на приобретение (строительство) жилья на территории Колпашевского района на 2009-2010 годы" (в редакции от 29.04.2009 № 644, от 02.07.2009 № 679, от 25.12.2009 № 768)</t>
  </si>
  <si>
    <t>Иные межбюджетные трансферты на пнриобретение оборудования для котельной, расположенной по адресу: г.Колпашево, ул.Крылова, 9</t>
  </si>
  <si>
    <t>Расходы на материальную помощь гражданам, осуществляющим газификацию частных домовладений, проживающим на территории г. Колпашево и с. Тогур Колпашевского района</t>
  </si>
  <si>
    <t>Расходы на осуществление мероприятий по обеспечению жильем граждан, проживающих в сельской местности по областной целевой программе "Социальное развитие села до 2010 года", за счет средств субсидии из федерального бюджета</t>
  </si>
  <si>
    <t>2.1.33.</t>
  </si>
  <si>
    <t>01.01.2006 вводится в действие ежегодно</t>
  </si>
  <si>
    <t>ст. 31</t>
  </si>
  <si>
    <t>2.1.26.</t>
  </si>
  <si>
    <t>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</si>
  <si>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>Закон Томской области от 12 января 2007 г. N 29-ОЗ "О референдуме Томской области и местном референдуме"</t>
  </si>
  <si>
    <t>ч.1 ст.28, ч.7,8 ст.44</t>
  </si>
  <si>
    <t>29.01.2007, не установлен</t>
  </si>
  <si>
    <t>2.1.23.</t>
  </si>
  <si>
    <t>Решение Думы Колпашевского района от 23.07.2008 № 515 "О порядке использования средств бюджета муниципального образования "Колпашевский район" на проведение мероприятий по улучшению жилищных условий граждан, проживающих в сельской местности  в рамках реализации постановления Администрации Томской области от 23.05.2008 № 99а "О мерах по улучшению жилищных условий граждан, проживающих в сельской местности на территории Томской области"</t>
  </si>
  <si>
    <t>Иные межбюджетные трансферты на предупреждение чрезвычайной ситуации в период весеннего паводка 2010 года в д. Усть-Чая</t>
  </si>
  <si>
    <t xml:space="preserve">Субсидия на комплектование книжных фондов библиотек муниципальных образований </t>
  </si>
  <si>
    <t>п.5-6</t>
  </si>
  <si>
    <t>Расходы на ремонт муниципальных объектов социальной сферы, за счет средств из областного бюджета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</si>
  <si>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</t>
  </si>
  <si>
    <t xml:space="preserve">Федеральный Закон от 06.10.2003 № 131-ФЗ "Об общих принципах организации местного самоуправления";
</t>
  </si>
  <si>
    <t xml:space="preserve">16.10.2003, не установлен; </t>
  </si>
  <si>
    <t xml:space="preserve">Гл.3, ст.15, п.1, п.п.11       </t>
  </si>
  <si>
    <t>Ст. 31</t>
  </si>
  <si>
    <t>Решение Думы Колпашевского района от 26.12.07 № 415 "Об утверждении Положения о реализации и финансировании мероприятий по содействию занятости населения из средств бюджета муниципального образования "Колпашевский район" на 2008 год"</t>
  </si>
  <si>
    <t>п.1-2</t>
  </si>
  <si>
    <t>Решение Думы Колпашевского района от 08.10.2005 № 418 "Об утверждении положений " (Приложение 1)</t>
  </si>
  <si>
    <t>Решение Думы Колпашевского района от 10.12.2005 № 35 "Об утверждении Положения о порядке официального опубликования (обнародования) муниципальных правовых актов и иной официальной информации"</t>
  </si>
  <si>
    <t>Гл. 6- 9 Положения</t>
  </si>
  <si>
    <t>ст. 2-4</t>
  </si>
  <si>
    <t>01.05.2006 вводиться в действие ежегодно</t>
  </si>
  <si>
    <t>Постановление Правительства РФ от 7 марта 1995 г. N 239 "О мерах по упорядочению государственного регулирования цен (тарифов)"</t>
  </si>
  <si>
    <t>п. 1 абз. 4</t>
  </si>
  <si>
    <t>16.03.1995, не установлен</t>
  </si>
  <si>
    <t>ст. 2-5</t>
  </si>
  <si>
    <t>Решение Думы Колпашевского района от 26.02.2010 № 806 "О порядке использования в 2010 году средств бюджета муниципального образования " Колпашевский район" на проведение мероприятий в рамках реализации комплексной прогаммы социально-экономического развития муниципального образования "Колпашевский район" на 2008-2012 годы" в разделе "Сельское хозяйство"</t>
  </si>
  <si>
    <t>26.02.2010-31.12.2010</t>
  </si>
  <si>
    <t xml:space="preserve">01.01.2007-до окончания срока действия ЗТО от 29.12.2005 № 241-ОЗ </t>
  </si>
  <si>
    <t>гр.13</t>
  </si>
  <si>
    <t>гр.14</t>
  </si>
  <si>
    <t>гр.15</t>
  </si>
  <si>
    <t>01.01.2007, не установлен</t>
  </si>
  <si>
    <t>Физкультурно - оздоровительная работа и спортивные мероприятия</t>
  </si>
  <si>
    <t>п. 1-2</t>
  </si>
  <si>
    <t>2.1.20.</t>
  </si>
  <si>
    <t>Расходы на стимулирующие выплаты за высокие результаты и качество выполняемых работ в муниципальных общеобразовательных учреждениях за счёт средств межбюджетных трансфертов из областного бюджета</t>
  </si>
  <si>
    <t>Расходы на выполнение работ в период половодья по ограждению дамбой с. Озёрное</t>
  </si>
  <si>
    <t xml:space="preserve">Решение Думы Колпашевского района от 08.10.2005 № 418 "Об утверждении  положений" (Приложение 1) </t>
  </si>
  <si>
    <t>24.05.2010-31.12.2010</t>
  </si>
  <si>
    <t>Постановление Администрации Томской области от 30 июня 2007 г. N 104а "Об утверждении Порядка предоставления из областного бюджета субсидий бюджетам муниципальных образований Томской области и их расходования"</t>
  </si>
  <si>
    <t>01.01.2006 - 31.12.2007</t>
  </si>
  <si>
    <t xml:space="preserve">Расходы на оказание услуг по перевозке пассажиров речным транспортом </t>
  </si>
  <si>
    <t>28.02.2006, не установлен</t>
  </si>
  <si>
    <t>2.1.37.</t>
  </si>
  <si>
    <t>Гл.3, ст.15, п.1, п.п.2</t>
  </si>
  <si>
    <t>Гл.3, ст.15, п.1, п.п.5</t>
  </si>
  <si>
    <t>организация мероприятий межпоселенческого характера по охране окружающей среды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</si>
  <si>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</si>
  <si>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субсидии отражаемые в расходных обязательствах поселений Колпашевского района</t>
  </si>
  <si>
    <t>Расходы на приобретение атотранспортных средств</t>
  </si>
  <si>
    <t xml:space="preserve">п.1-2,        п.1-2                                 </t>
  </si>
  <si>
    <t xml:space="preserve">01.01.2008, не установлен        10.09.2009-31.12.2009       </t>
  </si>
  <si>
    <t>п. 1-5</t>
  </si>
  <si>
    <t>формирование и содержание муниципального архива, включая хранение архивных фондов поселений</t>
  </si>
  <si>
    <t>2.1.4.</t>
  </si>
  <si>
    <t>утверждение схем территориального планирования муниципального района, утверждение подготовленной на основе схемы территориального планирования муниципального района документации по планировке территории, ведение информационной системы обеспечения градостр</t>
  </si>
  <si>
    <t>2.1.18.</t>
  </si>
  <si>
    <t>Мероприятия по организации оздоровительной компании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</si>
  <si>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</si>
  <si>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</si>
  <si>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</si>
  <si>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</si>
  <si>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</si>
  <si>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</si>
  <si>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</si>
  <si>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</si>
  <si>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</si>
  <si>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</si>
  <si>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Организация предоставления общедоступного и бесплатного начального общего, основного общего, среднего (полного) общего образования на территории муниципального образования "Колпашевский район"</t>
  </si>
  <si>
    <t>0901</t>
  </si>
  <si>
    <t>п. 2 Положения</t>
  </si>
  <si>
    <t>Расходы на содержание МУ "Агентство по управлению муниципальным имуществом и размещению муниципального заказа"</t>
  </si>
  <si>
    <t>Решение Думы Колпашевского района от 08.10.2005 № 417 "О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района"</t>
  </si>
  <si>
    <t>п. 1-3</t>
  </si>
  <si>
    <t>29.02.1993, не установлен</t>
  </si>
  <si>
    <t>ст. 5</t>
  </si>
  <si>
    <t>Решение Думы Колпашевского района от 29.04.2009 № 657 "О порядке расходования средств на оказание материальной помощи гражданам, осуществляющим газификацию частных домовладений, проживающим на территории г. Колпашево и с. Тогур Колпашевского района"; распоряжение Администрации Колпашевского района от 27.04.2010 № 208 "О материальной помощи гражданам, осуществляющим газификацию частных домовладений, проживающим на территории г. Колпашево и с. Тогур Колпашевского района"</t>
  </si>
  <si>
    <t xml:space="preserve">п.1          </t>
  </si>
  <si>
    <t xml:space="preserve">п. 2-4 Положения  </t>
  </si>
  <si>
    <t>Организация предоставления дополнительного образования на территории муниципального района</t>
  </si>
  <si>
    <t>2.1.31.</t>
  </si>
  <si>
    <t>ВСЕГО</t>
  </si>
  <si>
    <t>организация и осуществление мероприятий межпоселенческого характера по работе с детьми и молодежью</t>
  </si>
  <si>
    <t>Расходы на переподготовку кадров и повышение квалификации</t>
  </si>
  <si>
    <t>Мероприятия в области занятости населения</t>
  </si>
  <si>
    <t>ПРОЕКТ</t>
  </si>
  <si>
    <t>Субсидии на государственную поддержку малого предпринимательства включая крестьянские (фермерские) хозяйства</t>
  </si>
  <si>
    <t>13.02.2009-31.12.2010</t>
  </si>
  <si>
    <t>Расходы на оплату затрат на проведение лицензионной экспертизы образовательных учреждений</t>
  </si>
  <si>
    <t>Решение Думы Колпашевского района от 28.04.2008 № 466 "Об утверждении Порядка использования средств субвенции из областного бюджета, связанных с осуществлением государственных полномочий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 в муниципальном образовании "Колпашевский район" (в редакции от 27.10.2008 № 550, от 16.01.2009 № 596)</t>
  </si>
  <si>
    <t>0102</t>
  </si>
  <si>
    <t>2.1.2.</t>
  </si>
  <si>
    <t>01.01.2008, не установлен</t>
  </si>
  <si>
    <t>Гл.3, ст.15, п.1, п.п.3</t>
  </si>
  <si>
    <t>2.1.34.</t>
  </si>
  <si>
    <t>Закон Томской области от 17 декабря 2007 г. N 279-ОЗ "О предоставлении межбюджетных трансфертов"</t>
  </si>
  <si>
    <t>абз 4 п. 2 ст.1</t>
  </si>
  <si>
    <t>приложение 1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</si>
  <si>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</si>
  <si>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2.1.22.</t>
  </si>
  <si>
    <t xml:space="preserve">07.12.2009-15.04.2010 </t>
  </si>
  <si>
    <t>Расходные обязательства, возникшие в результате решения органами местного самоуправления муниципальных районов вопросов, не отнесенных к вопросам местного значения, в соответствии со статьей 15.1 Федерального закона от 6 октября 2003 г. № 131-ФЗ «Об общих</t>
  </si>
  <si>
    <t>Постановление администрации Колпашевского района от 24.05.2010 № 836 "Об использовании бюджетных ассигнований резервного фонда финансирования непредвиденных расходов Администрации Томской области на софинансирование расходов на ремонт и (или) переустройство жилых помещений граждан, не стоящих на учёте в качестве нуждающихся в улучшении жилищных условий из числа участников и инвалидов ВОв 1941-1945 годов, лиц, награждённых знаком "Житель блокадного Ленинграда", бывших несовершеннолетних узников концлагерей, признанных инвалидами, вдов погибших (умерших) участников ВОв 1941-1945 годов, не вступивших в повторный брак"</t>
  </si>
  <si>
    <t>Расходы в соответствии с распоряжением Администрации ТО от 21.04.2010 № 319-ра</t>
  </si>
  <si>
    <t>0105</t>
  </si>
  <si>
    <t>2.1.25.</t>
  </si>
  <si>
    <t>2.1.12.</t>
  </si>
  <si>
    <t>Постановление Администрации Колпашевского района от 01.02.2010 № 149 "Об утверждении долгосрочной целевой программы "Профилактика правонарушений на территории МО "Колпашевский район" на 2010-2012 годы" ( в редакции от 07.04.2010 № 537)</t>
  </si>
  <si>
    <t>2.1.28.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</si>
  <si>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</si>
  <si>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</si>
  <si>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</si>
  <si>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2.1.27.</t>
  </si>
  <si>
    <t>п.1 п.п.1.2</t>
  </si>
  <si>
    <t>2.1.14.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</si>
  <si>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</si>
  <si>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Расходы на осуществление казначейского исполнения бюджета</t>
  </si>
  <si>
    <t>Решение Думы Колпашевского района от 14.09.2005 № 401 "О расходах на осуществление казначейского исполнения бюджета муниципального образования "Колпашевский район" (в редакции от 29.06.06 № 164)</t>
  </si>
  <si>
    <t>Иные межбюджетные трансферты на ремонт котельной с. Копыловка</t>
  </si>
  <si>
    <t>Иные межбюджетные трансферты на строительство объекта водоснабжения мкр. Новостройка</t>
  </si>
  <si>
    <t xml:space="preserve">Решение Думы Колпашевского района от 20.06.2008 № 490 "О порядке расходования средств субсидии из резервного фонда финансирования непредвиденных расходов Администрации Томской области на приобретение книг для библиотек сельских поселений" </t>
  </si>
  <si>
    <t>2.2.</t>
  </si>
  <si>
    <t>ст. 1-3</t>
  </si>
  <si>
    <t>ст. 1-2</t>
  </si>
  <si>
    <t>Компенсация расходов на приобретение книгоиздательской продукции и периодических изданий педагогическим и руководящим работникам муниципальных образовательных учреждений Колпашевского района</t>
  </si>
  <si>
    <t>2008 год</t>
  </si>
  <si>
    <t>0107</t>
  </si>
  <si>
    <t>0502</t>
  </si>
  <si>
    <t>0408</t>
  </si>
  <si>
    <t>0902</t>
  </si>
  <si>
    <t>0707</t>
  </si>
  <si>
    <t>0309</t>
  </si>
  <si>
    <t>0405</t>
  </si>
  <si>
    <t>25.03.2008-31.12.2008</t>
  </si>
  <si>
    <t>Расходы, связанные с организацией операций с муниципальным имуществом</t>
  </si>
  <si>
    <t>02.09.2004, не установлен</t>
  </si>
  <si>
    <t>ст.15.1, п.2</t>
  </si>
  <si>
    <t>Код  бюджетной классификации (Рз, Прз)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</si>
  <si>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</si>
  <si>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Решение Думы Колпашевского района  от 10.12.2008 № 578" О бюджете муниципального образования "Колпашевский район" на 2009 год"  проект постановления  Главы Колпашевского района  "О порядке предоставления субсидии МО "Колпашевское городское поселение" на создание  условий для управления  многоквартирными домами"</t>
  </si>
  <si>
    <t>01.07.2007, не установлен</t>
  </si>
  <si>
    <t>Расходы на сопровождение сайта по ведению реестра закупок, реестра контрактов, а также осуществление функций по размещению заказа путем проведения торгов</t>
  </si>
  <si>
    <t>ст. 4</t>
  </si>
  <si>
    <t>Справочно: субсидии, выделенные поселениям Колпашевского района из бюджета МО "Колпашевский район", отражаемые в расходных обязательствах поселений Колпашевского района</t>
  </si>
  <si>
    <t xml:space="preserve">Закон Томской области от 13 июня 2007 г. N 112-ОЗ "О реализации государственной политики в сфере культуры и искусства на территории Томской области" </t>
  </si>
  <si>
    <t>ст. 7-10</t>
  </si>
  <si>
    <t>27.06.2007, не установлен</t>
  </si>
  <si>
    <t xml:space="preserve">Закон Томской области от 14 августа 2007 г. N 170-ОЗ "О межбюджетных отношениях в Томской области" </t>
  </si>
  <si>
    <t>ст. 15</t>
  </si>
  <si>
    <t>01.01.2008 - 31.12.2008</t>
  </si>
  <si>
    <t>Расходы для частичной оплаты стоимости питания школьников из малоимущих семей, обучающихся в муниципальных образовательных учреждениях, за счет средств  из областного бюджета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</si>
  <si>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</si>
  <si>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п. 7-9 Положения</t>
  </si>
  <si>
    <t>Постановление Главы Колпашевского района от 13.01.06 № 6 "О создании и финансировании подготовительных классов в общеобразовательных учреждениях района"</t>
  </si>
  <si>
    <t>п. 2</t>
  </si>
  <si>
    <t>ст. 55</t>
  </si>
  <si>
    <t>ст. 35</t>
  </si>
  <si>
    <t>01.01.2002, не установлен</t>
  </si>
  <si>
    <t>п. 2-3 Положения</t>
  </si>
  <si>
    <t>Решение Думы Колпашевского района от 10.12.2005 № 31 "Об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районе"</t>
  </si>
  <si>
    <t>п. 4-6 Положения</t>
  </si>
  <si>
    <t>Иные межбюджетные трансферты на инвентаризацию имущества поселений Колпашевского района</t>
  </si>
  <si>
    <t>Иные межбюджетные трансферты на ремонт теплотрассы к МДОУ № 20 г. Колпашево</t>
  </si>
  <si>
    <t>Иные межбюджетные трансферты на строительство газовой котельной по адресу г. Колпашево, ул. Крылова 9/2</t>
  </si>
  <si>
    <t>Иные межбюджетные трансферты на ремонт сетей горячего водоснабжения в с. Тогур</t>
  </si>
  <si>
    <t>Иные межбюджетные трансферты на ремонт сетей водоснабжения мкр. Восточный с. Тогур</t>
  </si>
  <si>
    <t>Закон Томской области от 28.12.2007 № 298-ОЗ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области"</t>
  </si>
  <si>
    <t>01.01.2008, вводится ежегодно ЗТО об областном бюджете на очередной финансовый год</t>
  </si>
  <si>
    <t xml:space="preserve">Закон Томской области от 9 октября 2007 г. N 223-ОЗ "О муниципальных должностях и должностях муниципальной службы в Томской области" </t>
  </si>
  <si>
    <t>Федеральный закон от 12 июня 2002 г. N 67-ФЗ "Об основных гарантиях избирательных прав и права на участие в референдуме граждан Российской Федерации"</t>
  </si>
  <si>
    <t>Гл.4</t>
  </si>
  <si>
    <t>Решение Думы Колпашевского района от 31.10.2006 № 222 "Об утверждении положения о присвоении звания "Человек года" на территории муниципального образования "Колпашевский район"</t>
  </si>
  <si>
    <t>01.01.2008 - 31.12.2010</t>
  </si>
  <si>
    <t>Расходы за счет средств субсидии из резервного фонда финансирования непредвиденных расходов Администрации Томской области в соответствии с распоряжением Администрации Томской области  от 23.05.08 № 12-р-в</t>
  </si>
  <si>
    <t>0801</t>
  </si>
  <si>
    <t>Расходы на развитие общественных инициатив</t>
  </si>
  <si>
    <t>2.3.</t>
  </si>
  <si>
    <t>Решение Думы Колпашевского района от 10.12.05 № 30 "Об утверждении Положения о порядке назначения, выплаты денежной компенсации на приобретение книгоиздательской продукции и периодических изданий педагогическим и руководящим работникам муниципальных образований"</t>
  </si>
  <si>
    <t>ИМБТ на ремонт крыши в жилом доме по адресу г.Колпашево, ул.Гоголя 80</t>
  </si>
  <si>
    <t>ИМБТ на ремонт участка системы водоснабжения мкр.Геолог 1-4 г.Колпашево</t>
  </si>
  <si>
    <t>ИМБТ на подготовку объектов водоснабжения к зиме с.Инкино</t>
  </si>
  <si>
    <t>ИМБТ на ремонт оборудования дизельной электростанции с.Копыловка</t>
  </si>
  <si>
    <t>ИМБТ на ремонт объектов водоснабжения с.Новоильинка</t>
  </si>
  <si>
    <t>ИМБТ на приобретение запасных честей и ремонт трактора</t>
  </si>
  <si>
    <t>ИМБТ на укрепление материально-технической базы сельских культурно-досуговых центров (в соответствии с распоряжением Администрации ТО от 06.07.2010 № 584-ра) за счет средств субсидии</t>
  </si>
  <si>
    <t>ИМБТ на приобретение спортивной формы для футбольной команды (в соответсвии с распоряжением Администрации ТО от 19.07.2010 № 39-р-в) за счет средств субсидии</t>
  </si>
  <si>
    <t>01.01.2010. не установлен</t>
  </si>
  <si>
    <t xml:space="preserve">Закон Томской области от 12 ноября 2001 г. N 119-ОЗ "Об образовании в Томской области" </t>
  </si>
  <si>
    <t>01.01.2010-31.12.2012</t>
  </si>
  <si>
    <t>Расходы на приобретение жилых помещений для переселения жителей Колпашевского района из опасной зоны обрушающихся берегов за счет средств субсидии из областного бюджета</t>
  </si>
  <si>
    <t>Распоряжение администрации Колпашевского района от 21.05.2010 №339 "О порядке расходования средств субсидии из резервного фонда финансирования непредвиденных расходов администрации Томской области для проведения социалогического исследования"</t>
  </si>
  <si>
    <t>п.4-5</t>
  </si>
  <si>
    <t>Мероприятия в области сельскохозяйственного производства</t>
  </si>
  <si>
    <t xml:space="preserve">п. 2-5 Положения,      </t>
  </si>
  <si>
    <t>30.03.2007, не установлен</t>
  </si>
  <si>
    <t>21.05.2010 - 31.05.2010</t>
  </si>
  <si>
    <t>Решение Думы Колпашевского района от 17.06.2010 № 852 "Об установлении расходного обязательства по оплате проезда беременных женщин из населенных пунктов МО "Колпашевский район", кроме г.Колпашево и п.Тогур, в МУЗ "Колпашевская ЦРБ" для обследования и наблюдения в целях своевременной постановки на учет и последующего наблюдения в период беременности, по привлечению областных узких медицинских специалистов к проведению профилактических медосмотров детей и подростков от 0 до 18 лет на территории Колпашевского района</t>
  </si>
  <si>
    <t>ст. 17</t>
  </si>
  <si>
    <t>участие в предупреждении и ликвидации последствий чрезвычайных ситуаций на территории муниципального района</t>
  </si>
  <si>
    <t>Постановление Администрации Томской области от 23 августа 2007 г. N 125а "О мерах по улучшению жилищных условий граждан, проживающих в сельской местности на территории Томской области"</t>
  </si>
  <si>
    <t>23.08.2007, не установлен</t>
  </si>
  <si>
    <t>Решение Думы Колпашевского района от 29.11.2006 № 236 "Об утверждении Положения о порядке утилизации и переработки твердых бытовых отходов и промышленных отходов III-IV класса опасности и о порядке размещения, обустройства и содержания полигонов и санкционированных объектов в МО "Колпашевский район" (в редакции от 02.07.2009 № 682)</t>
  </si>
  <si>
    <t>2.1.5.</t>
  </si>
  <si>
    <t>Решение Думы Колпашевского района от 28.01.2010  № 787 "О порядке расходования средств на ликвидацию муниципального учреждения "Специальный дом для ветеранов войны и труда, семей пожилого возраста и инвалидов" в 2010 году"</t>
  </si>
  <si>
    <t>01.01.2010-31.12.2010</t>
  </si>
  <si>
    <t>Решение думы Колпашевского района от 21.09.2009 № 701 "Об использовании средств местного бюджета на компенсацию транспортных расходов обучающихся в МОУ "Мараксинская ООШ" муниципального образования "Колпашевский район"</t>
  </si>
  <si>
    <t>21.09.2009, не установлен</t>
  </si>
  <si>
    <t>Решение Думы Колпашевского района от 25.12.2009 № 774 "О порядке использования средств бюджета муниципального образования "Колпашевский район" на реализацию мероприятий по созданию условий для развития местного традиционного народного художественного творчества в поселениях, входящих в состав Колпашевского района" (в редакции от 16.04.2010 № 824)</t>
  </si>
  <si>
    <t>п.1                           п.1</t>
  </si>
  <si>
    <t>01.05.2010, не установлен      28.04.2010, не установлен</t>
  </si>
  <si>
    <t>Расходы для финансового обеспечения переданных полномочий по составлению (изменению и дополнению) списков кандидатов в присяжные заседатели федеральных судов общей юрисдикции в РФ</t>
  </si>
  <si>
    <t>2010 год</t>
  </si>
  <si>
    <t>Решение Думы Колпашевского района от 24.03.2008 № 446 "Об утверждении Положения о бюджетном процессе в МО "Колпашевский район" ( в редакции от 18.06.2009 № 666, от 28.01.2010 № 781, от 17.06.2010 № 848); Постановление Администрации Колпашевского района от 27.08.2010 № 1088 "Об установлении расходного обязательства МО "Колпашевский район" по осуществлению отдельных государственных полномочий по подготовке и проведению Всероссийской переписи населения"</t>
  </si>
  <si>
    <t>27.08.2010-31.12.2011</t>
  </si>
  <si>
    <t>содержание на территории муниципального района межпоселенческих мест захоронения, организация ритуальных услуг</t>
  </si>
  <si>
    <t>2.1.29.</t>
  </si>
  <si>
    <t>создание условий для развития местного традиционного народного художественного творчества в поселениях, входящих в состав муниципального района</t>
  </si>
  <si>
    <t>0114</t>
  </si>
  <si>
    <t>п. 1</t>
  </si>
  <si>
    <t>01.01.2005, не установлен</t>
  </si>
  <si>
    <t>01.07.2010, до окнчания срока действия ЗТО от 28.12.2007 № 298-ОЗ</t>
  </si>
  <si>
    <t>Расходы на закупку автотранспортных средств и коммунальной техники за счет средств субсидии из федерального бюджета</t>
  </si>
  <si>
    <t>содержание и строительство автомобильных дорог общего пользования между населенными пунктами, мостов и иных транспортных инженерных сооружений вне границ населенных пунктов в границах муниципального района, за исключением автомобильных дорог общего пользо</t>
  </si>
  <si>
    <t>16.10.2003, не утановлен</t>
  </si>
  <si>
    <t>Расходы на содержание аппарата Администрации Колпашевского района</t>
  </si>
  <si>
    <t>0104</t>
  </si>
  <si>
    <t>п. 1-4</t>
  </si>
  <si>
    <t>01.01.2008, вводиться ежегодно ЗТО "Об областном бюджете на очередной финансовый год"</t>
  </si>
  <si>
    <t>ст. 3,6</t>
  </si>
  <si>
    <t>Федеральный закон от 21 декабря 1996 г. N 159-ФЗ "О дополнительных гарантиях по социальной поддержке детей-сирот и детей, оставшихся без попечения родителей"</t>
  </si>
  <si>
    <t>ст. 8</t>
  </si>
  <si>
    <t>27.12.1998, не установлен</t>
  </si>
  <si>
    <t>1004</t>
  </si>
  <si>
    <t>Иные межбюджетные трансферты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осуществление дорожной деятельности за счет средств районного бюджета</t>
  </si>
  <si>
    <t>п.2-4 Положения             п.1</t>
  </si>
  <si>
    <t>01.01.2006, не установлен            01.01.2009, не установлен</t>
  </si>
  <si>
    <t>2.1.9.</t>
  </si>
  <si>
    <t>п. 4-7</t>
  </si>
  <si>
    <t>вводиться в действие ежегодно</t>
  </si>
  <si>
    <t>ст. 11, п. 1</t>
  </si>
  <si>
    <t>п.1-6</t>
  </si>
  <si>
    <t>Наименование вопроса местного значения, расходного обязательства</t>
  </si>
  <si>
    <t>ИМБТ на изготовление и установку детской игровой площадки (в соответствии с распоряжением Администрации ТО от 10.062010 № 31-р-в) за счет средств субсидии</t>
  </si>
  <si>
    <t xml:space="preserve">ИМБТ на поощрение межпоселенческих команд, участвовавших в 3-й зимней межпоселенческой спартакиады в п. Б.Саровка </t>
  </si>
  <si>
    <t>ИМБТ на участие команды КВН г. Колпашева в фестивале Международного Союза КВН (КИВИН-2010)</t>
  </si>
  <si>
    <t>ИМБТ на укрепление материально-техничекой базы МУ "Чажемтовский "СКДЦ"</t>
  </si>
  <si>
    <t>установление, изменение и отмена местных налогов и сборов муниципального района</t>
  </si>
  <si>
    <t>организация утилизации и переработки бытовых и промышленных отходов</t>
  </si>
  <si>
    <t>2.1.32.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</si>
  <si>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</si>
  <si>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Решение Думы Колпашевского района от 28.01.2008 № 422 "О частичной оплате стоимости питания обучающихся  в муниципальных общеобразовательных учреждениях муниципального образования "Колпашевский район" из малоимущих семей (в редакции от 28.04.2008 № 462; от 27.10.2008 № 548, от 16.01.2009 № 601, от 21.09.2009 № 704, от 25.12.2009 № 756)</t>
  </si>
  <si>
    <t>01.07.2010- до окончания срока действия ЗТО от 13.11.2008 № 231-ОЗ</t>
  </si>
  <si>
    <t>01.07.2010- до окончания срока действия ЗТО от 07.07.2009 № 104-ОЗ</t>
  </si>
  <si>
    <t xml:space="preserve">Расходы на создание системы оценки (системы мониторинга) деятельности органов местного самоуправления </t>
  </si>
  <si>
    <t>План</t>
  </si>
  <si>
    <t>Исполнение</t>
  </si>
  <si>
    <t>ИТОГО расходные обязательствам муниципальных районов</t>
  </si>
  <si>
    <t>Иные межбюджетные трансферты на поощрение поселений Колпашевского района, участвовавших в мероприятиях по культуре районного и областного значения</t>
  </si>
  <si>
    <t>Решение Думы Колпашевского района от 16.04.2010 № 834 "О порядке использования средств субсидии на компенсацию разницы в тарифах для населения по утилизации (захоронению) твёрдых бытовых отходов на полигоне г. Колпашево"; Постановление администрации Колпашевского района от 15.07.2010 № 945 "О порядке и условиях предоставления субсидии на компенсацию разницы в тарифах для населения по утилизации (захоронению) твердых бытовых отходов на полигоне г.Колпашево"</t>
  </si>
  <si>
    <t xml:space="preserve">01.07.2010, до окончания срока действия ЗТО от 11.09.2007 № 188-ОЗ </t>
  </si>
  <si>
    <t>Расходы из резервного фонда финансирования непредвиденных расходов Администрации ТО в соответствии с распоряжением Администрации ТО от 29.03.2010 № 15-р-в</t>
  </si>
  <si>
    <t>Решение Думы Колпашевского района от 26.12.2008 № 586 "О порядке расходования бюджетных ассигнований, выделенных бюджету муниципального образования  "Колпашевский район" из резервного фонда финансирования непредвиденных расходов Администрации ТО из резервного фонда Администрации ТО по ликвидациипоследствий стихийных бедствий и других чрезвычайных ситуаций"</t>
  </si>
  <si>
    <t>26.12.2008, не установлен</t>
  </si>
  <si>
    <t>Расходы на организацию отдыха детей в каникулярное время за счёт средств субсидии из областного бюджета</t>
  </si>
  <si>
    <t>Организация предоставления дошкольного образования</t>
  </si>
  <si>
    <t>0701</t>
  </si>
  <si>
    <t>01.01.2008-31.12.2008</t>
  </si>
  <si>
    <t>0412</t>
  </si>
  <si>
    <t>01.01.2002, не указан</t>
  </si>
  <si>
    <t>фактически исполнено</t>
  </si>
  <si>
    <t>гр.0</t>
  </si>
  <si>
    <t>гр.2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</si>
  <si>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ЖКХ</t>
  </si>
  <si>
    <t xml:space="preserve">организация оказания на территории муниципального района скорой медицинской помощи (за исключением санитарно-авиационной), первичной медико-санитарной помощи в амбулаторно-поликлинических, стационарно-поликлинических и больничных учреждениях, медицинской </t>
  </si>
  <si>
    <t>Решение Думы Колпашевского района от 29.04.2009 № 650 "Об утверждении районной целевой программы "Патриотическое воспитание детей  и молодежи  Колпашевского района  на 2008-2010 годы" (в редакции от 02.07.2009 № 680, от 28.10.2009 № 720, от 28.01.2010 № 789, от 26.02.2010 № 803, от 16.04.2010 № 825)</t>
  </si>
  <si>
    <t>Расходы в соответствии с распоряжением Администрации ТО от 30.03.2010 № 229-ра</t>
  </si>
  <si>
    <t>Постановление администрации Колпашевского района от 14.04.2010 № 558 "Об использовании бюджетных ассигнований резервного фонда финансирования непредвиденных расходов Администрации Томской области на софинансирование расходов на ремонт и (или) переустройство жилых помещений граждан, не стоящих на учёте в качестве нуждающихся в улучшении жилищных условий из числа участников и инвалидов ВОв 1941-1945 годов, лиц, награждённых знаком "Житель блокадного Ленинграда", бывших несовершеннолетних узников концлагерей, признанных инвалидами, вдов погибших (умерших) участников ВОв 1941-1945 годов, не вступивших в повторный брак"</t>
  </si>
  <si>
    <t>14.04.2010-30.12.2010</t>
  </si>
  <si>
    <t xml:space="preserve">01.01.2006-до окончания срока действия ЗТО от 15.12.2004 № 248-ОЗ 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</si>
  <si>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</si>
  <si>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</si>
  <si>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</si>
  <si>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финансирование расходов на содержание органов местного самоуправления муниципальных районов</t>
  </si>
  <si>
    <t>2.1.17.</t>
  </si>
  <si>
    <t>2.1.15.</t>
  </si>
  <si>
    <t>финансирование муниципальных учреждений</t>
  </si>
  <si>
    <t>2.1.38.</t>
  </si>
  <si>
    <t>п. 3-4 Положения</t>
  </si>
  <si>
    <t>Трудовой кодекс РФ</t>
  </si>
  <si>
    <t>ст. 325,326</t>
  </si>
  <si>
    <t>ст. 33</t>
  </si>
  <si>
    <t>01.02.2002, не установлен</t>
  </si>
  <si>
    <t>14.07.2006, не установлен</t>
  </si>
  <si>
    <t>ИМБТ на приобретение мусорных контейнеров</t>
  </si>
  <si>
    <t>ИМБТ на переоборудование автобуса предназначенного для перевозки пассажиров в междугороднем сообщении</t>
  </si>
  <si>
    <t>ИМБТ на приобретение шасси типа прицепа для передвижной дизельной электрической станции</t>
  </si>
  <si>
    <t>ИМБТ на приобретение и доставку двигателя для дизельной электрической станции</t>
  </si>
  <si>
    <t>ИМБТ на организацию теплоснабжения жилого фонда и объектов расформированной войсковой части 14174</t>
  </si>
  <si>
    <t>ИМБТ на установку опор и прокладку ЛЭП для восстановления электроснабжения "воинского городка" г. Колпашева</t>
  </si>
  <si>
    <t>ИМБТ на организацию торговых мест под ярмарку по продаже сельскохозяйственной продукции в с.Чажемто</t>
  </si>
  <si>
    <t>Решение Думы Колпашевского района от 26.02.2010 № 807 "О порядке использования средств бюджета МО "Колпашевский район" на проведение мероприятий по улучшению жилищных условий граждан, проживающих в сельской местности в рамках реализации постановления Администрации Томской области от 18.06.2009 № 106а "О мерах по улучшению жилищных условий граждан, проживающих в сельской местности на территории Томской области"</t>
  </si>
  <si>
    <t>Решение Думы Колпашевского района  от 08.02.2006 № 79 "О порядке использования субвенции на выплату педагогическим работникам вознаграждения за выполнение функции классного руководителя (в редакции от 28.04.06 № 137; от 29.11.06 № 223; от  29.06.07  № 332, от 28.01.2008 № 423, от 28.01.2010 № 785)</t>
  </si>
  <si>
    <t>01.01.2006, до окончания срока действия ЗТО от 27.01.2006 № 3-ОЗ</t>
  </si>
  <si>
    <t>31.05.2006-До окончания срока действия ЗТО от 18.03.2003 № 36-ОЗ</t>
  </si>
  <si>
    <t>Расходы на разработку и реализацию целевой районной программы "Предоставление молодым семьям государственной поддержки на приобретение (строительство) жилья на территории Колпашевского района на 2009-2010 годы</t>
  </si>
  <si>
    <t xml:space="preserve">Расходы на осуществление перевозок водным транспортом обучающихся общеобразовательных учреждений </t>
  </si>
  <si>
    <t>31.07.2007, вводится в действие ежегодно</t>
  </si>
  <si>
    <t xml:space="preserve">Субвенция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 </t>
  </si>
  <si>
    <t>2012 год</t>
  </si>
  <si>
    <t>2.1.13.</t>
  </si>
  <si>
    <t>п.1</t>
  </si>
  <si>
    <t>ст. 9-13</t>
  </si>
  <si>
    <t>Расходы на проведение противоаварийных мероприятий в зданиях государственных и муниципальных общеобразовательных учреждений за счет средств субсидии из федерального бюджета</t>
  </si>
  <si>
    <t>0409</t>
  </si>
  <si>
    <t>Иные межбюджетные трансферты на приобретение тепловых сетей</t>
  </si>
  <si>
    <t>Гл. 4-5</t>
  </si>
  <si>
    <t xml:space="preserve">Закон Томской области от 11 сентября 2007 г. N 198-ОЗ "О муниципальной службе в Томской области" </t>
  </si>
  <si>
    <t>Федеральный закон от 2 марта 2007 г. N 25-ФЗ "О муниципальной службе в Российской Федерации"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</si>
  <si>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</si>
  <si>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</si>
  <si>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 xml:space="preserve">Районный фонд финансовой поддержки поселений в части собственных средств </t>
  </si>
  <si>
    <t xml:space="preserve">28.04.2008, не установлен </t>
  </si>
  <si>
    <t>Расходы на приобретение автомобилей за счет средств федерального бюджета</t>
  </si>
  <si>
    <t>06.03.2006, не установлен</t>
  </si>
  <si>
    <t>Расходы на выплату компенсации транспортных расходов обучающихся в муниципальных общеобразовательных учреждениях</t>
  </si>
  <si>
    <t>21.09.2009-31.12.2009</t>
  </si>
  <si>
    <t>0903</t>
  </si>
  <si>
    <t>0904</t>
  </si>
  <si>
    <t xml:space="preserve">Расходы на реализацию районной целевой программы  "Поддержка и развитие малого и среднего предпринимательства  в МО "Колпашевский район"на 2008-2012 годы" </t>
  </si>
  <si>
    <t>08.12.2008, не установлен</t>
  </si>
  <si>
    <t>Расходы на осуществление государственных полномочий по обеспечению жилыми помещениями детей - сирот и детей, оставшихся без попечения родителей, а также лиц из их числа, не имеющих закрепленного жилого помещения, за счет средств субвенции из областного бюджета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</si>
  <si>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</si>
  <si>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организация к действиям в чрезвычайной ситуации в мирное и военное время</t>
  </si>
  <si>
    <t>Расходы на обеспечение условий для развития физической культуры и массового спорта, за счет субсидии из областного бюджета</t>
  </si>
  <si>
    <t>Расходы на выплату вознаграждения гражданам, удостоенным звания "Человек года" на территории МО "Колпашевский район"</t>
  </si>
  <si>
    <t>ИТОГО</t>
  </si>
  <si>
    <t>01.01.210-31.12.2010</t>
  </si>
  <si>
    <t>Расходы на выплату вознаграждения гражданам, удостоенным звания "Почетный житель Колпашевского района"</t>
  </si>
  <si>
    <t>опека и попечительство**</t>
  </si>
  <si>
    <t>Расходы на патриотическое воспитание граждан Колпашевского района на 2008 - 2010 годы"</t>
  </si>
  <si>
    <t>15.05.2008-31.12.2012</t>
  </si>
  <si>
    <t>23.05.2008-31.12.2008</t>
  </si>
  <si>
    <t xml:space="preserve">Закон Томской области от 14 мая 2005 г. N 78-ОЗ "О гарантиях и компенсациях за счет средств областного бюджета для лиц, проживающих в местностях, приравненных к районам Крайнего Севера" </t>
  </si>
  <si>
    <t>п 4.1 - 6.1 Положения</t>
  </si>
  <si>
    <t>Расходы на ремонт муниципальных объектов социальной сферы, закреплённых на праве оперативного управления за муниципальными учреждениями культуры, здравоохранения, образования, за счёт средств местного бюджета</t>
  </si>
  <si>
    <t>Закон РФ от 10 июля 1992 г. N 3266-1 "Об образовании"</t>
  </si>
  <si>
    <t>ст. 51</t>
  </si>
  <si>
    <t>10.07.1992, не установлен</t>
  </si>
  <si>
    <t>Гл.3, ст.15, п.1, п.п.11</t>
  </si>
  <si>
    <t>2.1.3.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</si>
  <si>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</si>
  <si>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ст. 4-5</t>
  </si>
  <si>
    <t>30.06.1999, не установлен</t>
  </si>
  <si>
    <t>Решение Думы Колпашевского района от 23.11.2009 № 734 "Об использовании средств местного бюджета на финансирование расходов, связанных с осуществлением перевозок водным транспортом обучающихся муниципальных общеобразовательных учреждений МО "Колпашевский район"</t>
  </si>
  <si>
    <t>Решение Думы Колпашевского района от 10.12.2005 № 27 "Об утверждении Положения об организации оказания и финансового обеспечения на территории Колпашевского района первичной медико - санитарной помощи, в том числе женщинам в период беременности, во время и после родов, в том числе на фельдшерско-акушерских пунктах и скорой медицинской помощи (за исключением санитарно-авиационной) (в редакции от 22.12.2006 № 264)</t>
  </si>
  <si>
    <t>Расходы на организацию проведения районных мероприятий в сфере образования</t>
  </si>
  <si>
    <t>Решение Думы Колпашевского района от 17.06.2010 № 850 "Обиспользовании средств местного бюджета на финансирование расходов, связанных с организацией проведения районных мероприятий в сфере образования"</t>
  </si>
  <si>
    <t>01.06.2010-31.12.2010</t>
  </si>
  <si>
    <t>01.07.2010, до окончания срока действия ЗТО от 24.11.2009 № 261-ОЗ</t>
  </si>
  <si>
    <t>Расходы на осуществление отдельных государственных полномочий по подготовке проведения статистических переписей</t>
  </si>
  <si>
    <t>Расходы на предоставлении субсидии на компенсацию разницы в тарифах на население по утилизации (захоронению) твёрдых бытовых отходов на полигоне г.Колпашево, с.Тогур</t>
  </si>
  <si>
    <t>Расходы в соответствии с распоряжением Администрации ТО от 30.06.2010 № 552-ра</t>
  </si>
  <si>
    <t>2.</t>
  </si>
  <si>
    <t>Расходные обязательства муниципальных районов</t>
  </si>
  <si>
    <t>2.1.11.</t>
  </si>
  <si>
    <t>организация в границах муниципального района электро- и газоснабжения поселений</t>
  </si>
  <si>
    <t>расходы на содержание МУ "Архив"</t>
  </si>
  <si>
    <t>Расходы на содержание аппарата УФЭП</t>
  </si>
  <si>
    <t>0106</t>
  </si>
  <si>
    <t>Резервный фонд местной администрации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</si>
  <si>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</si>
  <si>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Решение Думы Колпашевского района от 28.12.2005 № 50 "Об утверждении Положения о муниципальном архиве Колпашевского района"</t>
  </si>
  <si>
    <t>2.1.16.</t>
  </si>
  <si>
    <t>организация охраны общественного порядка на территории муниципального района муниципальной милицией</t>
  </si>
  <si>
    <t>2.1.21.</t>
  </si>
  <si>
    <t>01.07.2010, до окончания срока действия ЗТО от 29.12.2005 № 248-ОЗ</t>
  </si>
  <si>
    <t xml:space="preserve">01.07.2010- до окончания срока действия ЗТО от 15.12.2004 № 246-ОЗ </t>
  </si>
  <si>
    <t>01.08.2009, не установлен</t>
  </si>
  <si>
    <t>Иные межбюджетные трансферты на софинансирование проектов по благоустройству поселений Колпашевского района</t>
  </si>
  <si>
    <t>Иные межбюджетные трансферты на поощрение лучших поселений Колпашевского района по благоустройству населенных пунктов</t>
  </si>
  <si>
    <t>Осуществление деятельности и обеспечение руководства в сфере образования на территории муниципального района</t>
  </si>
  <si>
    <t>осуществление мероприятий по обеспечению безопасности людей на водных объектах, охране их жизни и здоровья</t>
  </si>
  <si>
    <t>финансовый год +2
(2012 год)</t>
  </si>
  <si>
    <t>Иные межбюджетные трансферты на сбалансированность бюджетных доходов и расходов поселений Колпашевского района</t>
  </si>
  <si>
    <t>Расходы на содержание Думы Колпашевского района</t>
  </si>
  <si>
    <t>0103</t>
  </si>
  <si>
    <t>0406</t>
  </si>
  <si>
    <t>1003</t>
  </si>
  <si>
    <t>01.06.2006, не установлен</t>
  </si>
  <si>
    <t>Решение Думы Колпашевского района от 26.12.2008 № 412 "Об утверждении Положения о порядке проведения районного конкурса "Развитие общественных инициатив на территории Колпашевского района на 2008 год (в редакции от 27.10.2008 №553)</t>
  </si>
  <si>
    <t>п.1-4</t>
  </si>
  <si>
    <t>Расходные обязательства,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</t>
  </si>
  <si>
    <t>Решение Думы Колпашевского района от 25.11.2005 № 20 "Об утверждении Положения о звании "Почетный житель Колпашевского района" (в редакции от 29.03.2006 № 127)</t>
  </si>
  <si>
    <t>Гл. 4, ст. 11, п.1-2 Положения</t>
  </si>
  <si>
    <t>финансовый год +3
(2013 год)</t>
  </si>
  <si>
    <t>Расходы на реализацию долгосрочной целевой программы "Развитие физ. Культуры и массового спорта на территории МО "Колпашевский район" на 2011-2013 годы."</t>
  </si>
  <si>
    <t>Расходы на приобретение музыкальных инструментов для муниципальных образовательных учреждений дополнительного образования детей на 2011 год, за счет средств субсидии из областного бюджета</t>
  </si>
  <si>
    <t>Дотация на поддержку мер по обеспечению сбалансированности местных бюджетов</t>
  </si>
  <si>
    <t>Дотация на поддержку мер по обеспечению сбалансированности бюджетов поселений</t>
  </si>
  <si>
    <t>Расходы на реализацию долгосрочной целевой программы "Здоровый ребенок" на 2011-2013 годы"</t>
  </si>
  <si>
    <t>Расходы на обслуживание навигационным ограждением судового хода пассажирских линий</t>
  </si>
  <si>
    <t>0113</t>
  </si>
  <si>
    <t>0111</t>
  </si>
  <si>
    <t>Районный фонд финансовой поддержки поселений в части исполнения государственных полномочий по расчету и предоставлению дотаций поселениям</t>
  </si>
  <si>
    <t>Иные межбюджетные трансферты на дорожную деятельность в отношении автомобильных дорог местного значения, а также осуществления иных полномочий  в области использования автомобильных дорог  и осуществление дорожной деятельности в соответствии с законодательством РФ, за счёт средств субсидии из областного бюджета</t>
  </si>
  <si>
    <t>Иные межбюджетные трансферты  на компенсацию расходов  по организации теплоснабжения энергоснабжающими организациями, использующими в качестве топлива нефть или мазут за счет средств субсидии</t>
  </si>
  <si>
    <t>Иные межбюджетные трансферты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 за счет средств субсидии</t>
  </si>
  <si>
    <t>Иные межбюджетные трансферты на обеспечение условий для развития физической культуры и массового спорта за счет средств субсидии</t>
  </si>
  <si>
    <t>Иные межбюджетные трансферты на компенсацию расходов по организации электроснабжения от дизельных электростанций за счет средств субсидии</t>
  </si>
  <si>
    <t>Иные межбюджетные трансферты на создание условий для управления многоквартирными домами  за счет средств субсидии</t>
  </si>
  <si>
    <t>1105</t>
  </si>
  <si>
    <t>Расходы на реализацию долгосрочной целевой программы "Профилактика правонарушений на территории МО "Колпашевский район" на 2010-2012</t>
  </si>
  <si>
    <t>Расходы на реализацию долгосрочной целевой программы "Предоставление молодым семьям государственной поддержки на приобретение (строительство) жилья на территории Колпашевского района на 2011-2015 годы"</t>
  </si>
  <si>
    <t>Расходы на реализацию программы "Профилактика детского дорожно - транспортного травматизма на территории Томской области в 2010 - 2011 годах" за счет субсидии из областного бюджета</t>
  </si>
  <si>
    <t>Решение Думы Колпашевского района от 26.12.2007 № 409 "Об утверждении Положения о порядке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муниципального образования "Колпашевский район"</t>
  </si>
  <si>
    <t>1402</t>
  </si>
  <si>
    <t>1401</t>
  </si>
  <si>
    <t xml:space="preserve">Расзходы на оплату потребления бюджетными учреждениями Колпашевского района электроэнергии, вырабатываемой дизельными электростанциями, по тарифам, свыше тарифов, установленных для централизованного электроснабжения </t>
  </si>
  <si>
    <t xml:space="preserve">Расходы на организацию подвоза обучающихся из ближайших населенных пунктов к месту учебы </t>
  </si>
  <si>
    <t>Расходы на осуществление отдельных государственных полномочий по воспитанию и обучению детей -инвалидов в муниципальных дошкольных образовательных учреждениях за счет средств субвенции из областного бюджета</t>
  </si>
  <si>
    <t>ИМБТ на реализацию мероприятий программы "Чистое Колпашевское городское поселение" в части сбора и вывоза твердых бытовых отходов"</t>
  </si>
  <si>
    <t>Прочие межбюджетные трансферты на проектирование водопроводных сетей мкр. Матьянга</t>
  </si>
  <si>
    <t>Расходы на проведение работ по эксплуатации гидротехнических сооружений</t>
  </si>
  <si>
    <t>Решение Думы Колпашевского района от 08.10.2005  № 418 "Об утверждении положений (Приложение 1)", Решение Думы Колпашевского района от 10.12.2008 № 580 "Об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района"</t>
  </si>
  <si>
    <t>Решение думы Колпашевского района от 06.03.2006 № 118 "Об утверждении органа, уполномоченного на осуществление функций по размещению заказов для муниципальных заказчиков, органа, уполномоченного на осуществление контроля в сфере размещения муниципальных заказов, органа,  уполномоченного на ведение реестра муниципальных контрактов и Положения о порядке взаимодействия органа, уполномоченного на осуществление функций по размещению заказов для муниципальных заказчиков муниципального образования "Колпашевский район" и муниципальных заказчиков" (в редакции от 25.12.2009 № 763)</t>
  </si>
  <si>
    <t xml:space="preserve">Решение думы Колпашевского района от 07.12.2009 № 748 "О порядке расходования средств субсидии  из целевого финансового резерва Томской области для предупреждения чрезвычайных ситуаций для расселения жителей Колпашевского района из опасной зоны обрушающихся берегов р.Обь" </t>
  </si>
  <si>
    <t>Расходы на осуществление отдельных государственных полномочий по созданию и обеспечению деятельности комиссии по делам несовершеннолетних и защите их  прав, за счет средств субвенции из областного бюджета</t>
  </si>
  <si>
    <t>Расходы на осуществление 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районнов Крайнего Севера и приравненных к ним местностей, за счет средств субвенции из областного бюджета</t>
  </si>
  <si>
    <t>01.07.2010, до окончания действия ЗТО от 08.09.2009 № 173-ОЗ</t>
  </si>
  <si>
    <t>Расходы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</si>
  <si>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01.07.2010, до окончания действия ЗТО от 14.10.2005 № 191-ОЗ</t>
  </si>
  <si>
    <t>Расходы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маршрутам, за счет средств субвенции из областного бюджета</t>
  </si>
  <si>
    <t>Расходы на осуществление отдельных государственных полномочий на обеспечение одеждой, обувью, мягким инвентарем, оборудованием и единовременным денежным пособием детей -сирот и детей, оставшихся без попечения родителей,  а также лиц из числа детей- 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 и т.д., за счет средств субвенции из областного бюджета</t>
  </si>
  <si>
    <t>Расходы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области, за счет средств субвенции из областого бюджета</t>
  </si>
  <si>
    <t>01.07.2010, до окончания срока действия ЗТО от 10.11.2006 № 261-ОЗ</t>
  </si>
  <si>
    <t>Расходы на осуществление отдельных государственных полномочий по организации и осуществлению деятельности по опеке и попечительчтву в Томской области, за счет средств субвенции из областного бюджета</t>
  </si>
  <si>
    <t>п.1.3.</t>
  </si>
  <si>
    <t>Расходы на осуществление отдельных государственных полномочий по осуществлении денежных выплат медецинскому персоналу фельдшерско - акушерских пунктов, врачам, фельдшерам и медецинским сестрам учреждений и подразделений скорой медецинской помощи за счет средств субвенции из областного бюджета</t>
  </si>
  <si>
    <t>01.01.2008, до окончания срока действия ЗТО от 27.03.2009 № 38-ОЗ</t>
  </si>
  <si>
    <t>Расходы на осуществление отдельных государственных полномочий по созданию и обеспечению деятельности административных комиссий в Томской области за счет средств субвенций из областного бюджета</t>
  </si>
  <si>
    <t>Расходы на осуществление отдельных государственных полномочий по предоставлению, переоформлению и изъятию горных отводов для разработки месторождений  и проявлений общераспространенных полезных ископаемых, за счет средств субвенции из областного бюджета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</si>
  <si>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МОУ</t>
  </si>
  <si>
    <t>Расходы на выплату доплат к ежемесячному вознаграждению за выполнение функций классного руководителя педагогическим работникам МОУ Томской области в классах с наполняемостью свыше 25 человек, за счет средств субвенции из областного бюджета</t>
  </si>
  <si>
    <t>Расходы на выплату ежемесячного вознаграждения за выполнение функций классного руководителя педагогическим работникам МОУ, за счет средств субвенции из федерального бюджета</t>
  </si>
  <si>
    <t xml:space="preserve">Расходы на осуществление отдельных государственных полномочий по проведению аттестации педагогических работников МОУ на первую и вторую квалификационную категорию за счет средств субвенции из областного бюджета </t>
  </si>
  <si>
    <t>01.07.2010 - до окончания срока действия ЗТО от 29.12.2007 № 320-ОЗ</t>
  </si>
  <si>
    <t>01.01.2010, до окончания срока действия ЗТО от 15.12.2004 № 246-ОЗ</t>
  </si>
  <si>
    <t>Расходы на приобретение автотранспортных средств</t>
  </si>
  <si>
    <t>13.07.2010, не установлен</t>
  </si>
  <si>
    <t>Решение Думы Колпашевского района от 25.11.2005 № 17 "О размере,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обратнодля лиц, работающих в учреждениях и организациях, финансируемых из бюджета Колпашевского района и о размере,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жительства, в другую местность, за пределы района для лиц, работающих в учреждениях и организациях. финансируемых из бюджета Колпашевского района" (в редакции от 31.08.06 № 193; от 29.06.07 № 334, от 26.12.2007 № 402, от 28.08.2008 № 529, от 21.09.2009 № 706, от 13.07.2010 № 874, от 23.08.2010 № 908, от 23.08.2010 № 913, от 29.09.2010 № 931)</t>
  </si>
  <si>
    <t>Содержание автомобильных дорог общего пользования</t>
  </si>
  <si>
    <t>Решение Думы Колпашевского района от 24.05.2010 № 842 "Об установлении льготы на пассажирские перевозки речным транспортом на период навигации 2010 года" (в редакции от 13.07.2010 № 887)</t>
  </si>
  <si>
    <t>срок дейстия</t>
  </si>
  <si>
    <t>гр.18</t>
  </si>
  <si>
    <t>п.14</t>
  </si>
  <si>
    <t>п.4</t>
  </si>
  <si>
    <t>01.04.2010-31.12.2010</t>
  </si>
  <si>
    <t>Гл.3 Положения</t>
  </si>
  <si>
    <t>01.01.2008- 01.07.2010</t>
  </si>
  <si>
    <t>17.06.2010- 31.12.2011</t>
  </si>
  <si>
    <t>Постановление Администрации Колпашевского района от 15.10.2010 "Об утверждении долгосрочной районной программы "Предоставление молодым семьям государственной поддержки на приобретение (строительство) жилья на территории Колпашевского района на 2011 - 2015 годы"</t>
  </si>
  <si>
    <t>01.01.2011- 31.12.2015</t>
  </si>
  <si>
    <t>Постановление Администрации Колпашевского района от 14.10.2010 № 1289 "Об утверждении долгосрочной целевой программы "Здоровый ребенок" на 2011 - 2013 годы"</t>
  </si>
  <si>
    <t>01.01.2011- 31.12.2013</t>
  </si>
  <si>
    <t>Решение Думы Колпашевского района от 18.06.2009 № 668 "Об утверждении Положения об организации и осуществлении мероприятий по гражданской обороне в Колпашевском районе"</t>
  </si>
  <si>
    <t>п.18 Положения</t>
  </si>
  <si>
    <t>18.06.2009- не установлен</t>
  </si>
  <si>
    <t>Решение Думы Колпашевского района от 27.02.2007 № 297 "Об утверждении Положения о формировании, пополнении и учете районного страхового (аварийного) запаса материально-технических ресурсов для предприятий ЖКХ Колпашевского района"</t>
  </si>
  <si>
    <t>п.3 Положения</t>
  </si>
  <si>
    <t>27.02.2007- не установлен</t>
  </si>
  <si>
    <t>Постановление Администрации Колпашевского района от 15.10.2010 № 1294 "Об утверждении долгосрочной целевой программы "Подготовка спортивных сооружений к проведению на территории Колпашевского района финальных областных летних сельских спортивных игр "Стадион для всех" в 2013 году"</t>
  </si>
  <si>
    <t>Решение Думы Колпашевского района от 14.07.2006 № 180 " Об утверждении Положения о создании условий для предоставления транспортных услуг населению и организации транспортного обслуживания населения по маршрутам между поселениями в границах МО "Колпашевский район"</t>
  </si>
  <si>
    <t>п.8.2.1</t>
  </si>
  <si>
    <t>01.08.2006- не ограничен</t>
  </si>
  <si>
    <t>Расходы на реализацию мероприятий по созданию условий для развития местного традиционного народного художественного творчества в поселениях, входящих в состав Колпашевского района</t>
  </si>
  <si>
    <t>отчетный финансовый год   (2010 год)</t>
  </si>
  <si>
    <t>текущий финансовый год (2011)</t>
  </si>
  <si>
    <t>Расходы в соответствии с распоряжением Администрации ТО от 01.12.2010 № 1035-ра (частичное покрытие расходов на финансовое обеспечение мероприятий, связанных с ликвидацией последствий паводка, произошедшего в апреле-мае 2010 года)</t>
  </si>
  <si>
    <t>Решение Думы Колпашевского района от 26.12.2008 № 586 "О порядке расходования бюджетных ассигнований, выделенных бюджету МО "Колпашевский район" из резервного фонда финансирования непредвиденных расходов Администрации ТО по ликвидации последствий стихийных бедствий и других черезвычайных ситуаций"</t>
  </si>
  <si>
    <t>22.10.2010- 31.12.2010</t>
  </si>
  <si>
    <t>Расходы в соответствии с распоряжением Администрации ТО от 24.09.2010 № 807-ра (продолжение строительства храма "Церковь Вознесения" в г. Колпашево)</t>
  </si>
  <si>
    <t>Решение Думы Колпашевского района от 26.12.2008 № 586 "О порядке расходования бюджетных ассигнований, выделенных бюджету МО "Колпашевский район" из резервного фонда финансирования непредвиденных расходов Администрации ТО по ликвидации последствий стихийных бедствий и других черезвычайных ситуаций"; Постановление Администрации Колпашевского района от 08.10.2010 № 1266 "О порядке предоставления субсидии Томскому Региональному Общественному Благотворительному Фонду "Колпашевская церковь Вознесения" на возмещение затрат, связанных со строительством храма "Церковь Вознесения" в г. Колпашево"</t>
  </si>
  <si>
    <t>08.10.2010- 31.12.2010</t>
  </si>
  <si>
    <t>Расходы в соответствии с распоряжением Администрации ТО от 24.09.2010 № 61-р-в (приобретение материалов для строительства памятника участникам локальных войн)</t>
  </si>
  <si>
    <t>Решение Думы Колпашевского района от 26.12.2008 № 586 "О порядке расходования бюджетных ассигнований, выделенных бюджету МО "Колпашевский район" из резервного фонда финансирования непредвиденных расходов Администрации ТО по ликвидации последствий стихийных бедствий и других черезвычайных ситуаций"; Постановление Администрации Колпашевского района от 22.10.2010 № 1325 "О порядке предоставления субсидии Автономной некомерческой организации Колпашевского района "Центр социальной помощи молодежи" на возмещение затрат, связанных со строительством памятника участникам локальных войн в г.Колпашево в 2010 году"</t>
  </si>
  <si>
    <t>1006</t>
  </si>
  <si>
    <t>Расходы в соответствии с распоряжением Администрации ТО от 21.10.2010 № 894-ра (возмещение затрат по проведению аварийно-восстановительных работ по ликвидации последствий урагана 17.07.2010 г.)</t>
  </si>
  <si>
    <t>Постановление Администрации Колпашевского района от 29.10.2010 № 1359 "О порядке расходования средств бюджетных ассигнований, выделенных из резервного фонда Администрации ТО по ликвидации последствий стихийных бедствий и других черезвычайных ситуаций бюджету муниципального образования "Колпашевский район", на возмещение затрат по проведению аварийно - восстановительных работ по ликвидации последствий урагана 17.07.2010г." (в редакции от 10.11.2010 №1383)</t>
  </si>
  <si>
    <t>29.10.2010- 31.12.2010</t>
  </si>
  <si>
    <t>Расходы в соответствии с распоряжением Администрации ТО от 20.12.2010 № 1120-ра (приобретение дизель-генератора с целью предупреждения черезвычайной ситуации на объектах теплоснабжения)</t>
  </si>
  <si>
    <t>Расходы на предоставление субсидий на возмещение расходов ФГУП "Почта России", связанных с доставкой товаров первой необходимости в период труднодоступности населенных пунктов в 2010 году</t>
  </si>
  <si>
    <t>п.23.6</t>
  </si>
  <si>
    <t>10.05.2010- 31.12.2010</t>
  </si>
  <si>
    <t>Решение Думы Колпашевского района от 07.12.2009 № 738 "О бюджете муниципального образования "Колпашевский район" на 2010 год"</t>
  </si>
  <si>
    <t>Расходы на обеспечение жильем граждан РФ, проживающих в сельской местности</t>
  </si>
  <si>
    <t>Расходы за счет субсидии на реализацию подпрограммы "Обеспечение жильем молодых семей" ФЦП "Жилище" на 2002-2010 годы</t>
  </si>
  <si>
    <t>п. 4 Программы</t>
  </si>
  <si>
    <t>13.02.2009- 31.12.2010</t>
  </si>
  <si>
    <t>Расходы на реализацию мероприятий областной целевой программы "Пожарная безопасность на объектах бюджетной сферы Томской области на 2008 - 2010гг."</t>
  </si>
  <si>
    <t>Решение Думы Колпашевского района от 13.2.2009 № 608 "О расходовании средств субсидии на реализацию областной целевой программы "Пожарная безопасность на объектах бюджетной сферы Томской области на 2008-2010 годы"</t>
  </si>
  <si>
    <t>ИМБТ на поощрение поселенчиских команд,учавствовавших в 5-й летней межпоселенческой спартакиаде в с.Инкино в 2010 году</t>
  </si>
  <si>
    <t>ИМБТ на работы по врезкам в существующий газопровод высокого давления четвертой очереди</t>
  </si>
  <si>
    <t>ИМБТ на приобретение оборудования для котельных г.Колпашевса</t>
  </si>
  <si>
    <t>ИМБТ на изготовление и установку детских игровых площадок (в соответствии с распоряжением Администрации ТО от 20.08.2010 № 50-р-в) за счет средств субсидии</t>
  </si>
  <si>
    <t>ИМБТ в соответствии с распоряжением Администрации ТО от 14.09.2010 № 59-р-в</t>
  </si>
  <si>
    <t>ИМБТ на изготовление и установку детской игровой площадки по адресу: г.Колпашево, городской парк (в соответствии с распоряжением Администрации ТО от 04.10.2010 № 63-р-в)</t>
  </si>
  <si>
    <t>ИМБТ для МУ "ЦКД" г.Колпашево на укрепление материально-технической базы Дома культуры "Рыбник" в мкр. Матьянга (в соответствии с распоряжением Администрации ТО от 14.10.2010 № 64-р-в) за счет средств субсидии из областного бюджета</t>
  </si>
  <si>
    <t>ИМБТ на возмещение затрат по проведению аварийно-восстановительных работ по ликвидации последствий урагана 17 июля 2010 (в соответствии с распоряжением Администрации ТО от 21.10.2010 № 894-ра) за счет средств субсидии из областного бюджета</t>
  </si>
  <si>
    <t>ИМБТ для частичного покрытия расходов на финансовое обеспечение мероприятий, связанных с ликвидацией последствий паводка, произошедшего в апреле - мае 2010 года (в соответствии с распоряжением Администрации ТО от 01.12.2010 № 14035-ра)</t>
  </si>
  <si>
    <t>ИМБТ в соответствии с распоряжением Администрации ТО от 30.11.2010 № 83-р-в за счет субсидии</t>
  </si>
  <si>
    <t>ИМБТ для оказания единовременной помощи жителям, пострадавшим от весеннего половодья в апреле-мае 2010 года (в соответствии с распоряжением Администрации ТО от 06.12.2010 № 1040-ра)</t>
  </si>
  <si>
    <t>ИМБТ на укрепление материально-технической базы МУ "Городской молодежный центр" (в соответствии с распоряжением Администрации ТО от 10.12.2010 № 86-р-в) за счет средств субсидии</t>
  </si>
  <si>
    <t>ИМБТ на приобретение материалов для благоустроительных работ поселения</t>
  </si>
  <si>
    <t>ИМБТ на благоустройство зоны отдыха с.Новогорное</t>
  </si>
  <si>
    <t>ИМБТ на приобретение призов в рамках проведения мероприятий, посвященных Дню старшего поколения, МУ "ЦКД"</t>
  </si>
  <si>
    <t>ИМБТ на приобретение видеопроектора для Мараксинского СДК МУ "Новоселовский СКДЦ"</t>
  </si>
  <si>
    <t>ИМБТ на приобретение видеопроектора для Новоильинского СДК МУ "Саровский СКДЦ"</t>
  </si>
  <si>
    <t>ИМБТ на проведение торжественного мероприятия, посвященного 230-летию микрорайона Матьянга г.Колпашево для МУ "Центр культуры идосуга</t>
  </si>
  <si>
    <t>ИМБТ на награждение сельского поселения, победителя районной сельскохозяйственной ярмарки "Дары осени"</t>
  </si>
  <si>
    <t>ИМБТ на проектирование, строительство газораспределительных сетей 1-ой очереди газификации г.Колпашево</t>
  </si>
  <si>
    <t>ИМБТ на устройство защитных противопожарных полос вокруг населенных пунктов Инкинского сельского поселения</t>
  </si>
  <si>
    <t>ИМБТ на теплоснабжение объектов расформированной войсковой части 14174</t>
  </si>
  <si>
    <t>Расходы на денежное поощрение коллективов областных государственных и муниципальных образовательных учреждений ТО, внедряющих инновационные образовательные программы, победивших в конкурсном отборе, за счет средств ИМБТ из областного бюджета</t>
  </si>
  <si>
    <t>Решение Думы Колпашевского района от 24.12.2010 № 35 "О порядке использования средств иных межбюджетных трансфертов на выплату в 2010 году денежного поощрения коллективам муниципальных общеоьразовательных учреждений, внедряющих инновационные образовательные программы"</t>
  </si>
  <si>
    <t>п.2-3</t>
  </si>
  <si>
    <t>01.12.2010- 31.12.2010</t>
  </si>
  <si>
    <t>Расходы на реализацию ОЦП "Предоставление молодым семьям государственной поддержки на приобретение (строительство) жилья на территории ТО на 2006 - 2010 годы" за счет средств субсидии из областного бюджета</t>
  </si>
  <si>
    <t>Решение Думы Колпашевского района от 13.02.2009 № 613 "О районной целевой программе "Предоставление молодым семьям государственной поддержки на приобретение (строительство) жилья на территории Колпашевского района на 2009-2010 годы (в редакции от 29.04.2009 № 644, от 02.07.2009 № 679, от 25.12.2009 № 768)</t>
  </si>
  <si>
    <t>п.4 Программы</t>
  </si>
  <si>
    <t>Расходы из резервного фонда финансирования непредвиденных расходов Администрации ТО в соответствии с распоряжением Администрации ТО от 10.12.2010 № 86-р-в</t>
  </si>
  <si>
    <t>Расходы из резервного фонда финансирования непредвиденных расходов Администрации ТО в соответствии с распоряжением Администрации ТО от 30.11.2010 № 83-р-в (МОУ "Чажемтовская СОШ" на преобретение линолиума)</t>
  </si>
  <si>
    <t>Расходы из резервного фонда финансирования непредвиденных расходов Администрации ТО в соответствии с распоряжением Администрации ТО от 18.12.2010 № 95-р-в (МОУ "Саровская СОШ" на укрепление материально-технической базы)</t>
  </si>
  <si>
    <t>2.3.1.</t>
  </si>
  <si>
    <t>2.3.2.</t>
  </si>
  <si>
    <t>2.3.3.</t>
  </si>
  <si>
    <t>Расходы на осуществление отдельных государственных полномочий по назначению и выплате единовременного пособия при передаче ребенка на воспитание в семью</t>
  </si>
  <si>
    <t>2.3.4.</t>
  </si>
  <si>
    <t>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</si>
  <si>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2.3.5.</t>
  </si>
  <si>
    <t>2.3.6.</t>
  </si>
  <si>
    <t>осуществление ежемесячной выплаты денежных средств приемным семьям на содержание детей и осуществление ежемесячной оплаты труда приемных родителей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</si>
  <si>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</si>
  <si>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</si>
  <si>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</si>
  <si>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</si>
  <si>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</si>
  <si>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</si>
  <si>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</si>
  <si>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</si>
  <si>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Выплата гражданам адресных субсидий на оплату жилья и коммунальных услуг</t>
  </si>
  <si>
    <t>2.3.15.</t>
  </si>
  <si>
    <t>2.3.16.</t>
  </si>
  <si>
    <t>Обеспечение предоставления субсидий гражданам на оплату жилого помещения и коммунальных услуг</t>
  </si>
  <si>
    <t>2.3.17.</t>
  </si>
  <si>
    <t>Предоставление субсидий на уплату части процентной ставки по кредитам, привлекаемым гражданами РФ, постоянно проживающими в Томской области, в российских кредитных организациях на газификацию (модернизацию системы отопления) принадлежащего им на праве собственности частного жилищного фонда</t>
  </si>
  <si>
    <t>2.3.18.</t>
  </si>
  <si>
    <t>Расчет и предоставление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</t>
  </si>
  <si>
    <t>2.3.19.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</si>
  <si>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</si>
  <si>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2.3.20.</t>
  </si>
  <si>
    <t>Предоставление гражданам субсидий на оплату жилого помещения и коммунальных услуг</t>
  </si>
  <si>
    <t>2.3.21.</t>
  </si>
  <si>
    <t>2.3.22.</t>
  </si>
  <si>
    <t>2.3.23.</t>
  </si>
  <si>
    <t>2.3.24.</t>
  </si>
  <si>
    <t>2.3.25.</t>
  </si>
  <si>
    <t>2.3.26.</t>
  </si>
  <si>
    <t>2.3.27.</t>
  </si>
  <si>
    <t>2.3.28.</t>
  </si>
  <si>
    <t>2.3.29.</t>
  </si>
  <si>
    <t>предоставление субсидий на поддержку экономически значимой региональной программы развития молочного скотоводства</t>
  </si>
  <si>
    <t>предоставление субсидий на возмещение гражданам, ведущим личное подсобное хозяйство, затрат по искусственному осеменению коров</t>
  </si>
  <si>
    <t>предоставление субсидий на возмещение затрат по внесению органических удобрений</t>
  </si>
  <si>
    <t>на осуществление управленческих функций органами местного самоуправления</t>
  </si>
  <si>
    <t>предоставление субсидий на возмещение гражданам, ведущим личное подсобное хозяйство, с/х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с/х кредитных потребительских кооперативах в 2005-2010 годах на срок до 8 лет</t>
  </si>
  <si>
    <t>Решение Думы Колпашевского района от 21.09.2009 № 701 "Об использовании средств местного бюджета на компеснацию транспортных расходов обучающихся  муниципального образования "Колпашевский район"</t>
  </si>
  <si>
    <t>расходы на содержание единой дежурно-диспетчерской службы</t>
  </si>
  <si>
    <t>Решение Думы Колпашевского района от 13.07.2010 № 875 "Об утверждении Положения о порядке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муниципального образования "Колпашевский район" (в редакции от 23.08.2010 № 914, от 24.12.2010 № 32)</t>
  </si>
  <si>
    <t>Гл. 1-2 Положения</t>
  </si>
  <si>
    <t>Решение Думы Колпашевского района от 23.11.2010 № 21 "О бюджете муниципального образования "Колпашевский район" на 2011 год", Постановление Администрации Колпашевского района от 18.12.2010 № 1540 "О Порядке определения объема и предоставления субсидий некоммерческим организациям, не являющимися бюджетными учреждениями, в 2011 году"</t>
  </si>
  <si>
    <t xml:space="preserve">п.1 </t>
  </si>
  <si>
    <t>01.01.2011-31.12.2011</t>
  </si>
  <si>
    <t>Постановление Администрации Колпашевского района от 25.01.2011 № 23 "О порядке расходования средств бюджетных ассигнований, выделенных за счет средств резервного фонда финансирования непредвиденных расходов Администрации Томской области бюджету муниципального образования "Колпашевский район", на приобретение передвижной электростанции в утепленном блок-контейнере на автомобильном шасси"</t>
  </si>
  <si>
    <t>25.01.2011- 15.03.2011</t>
  </si>
  <si>
    <t>Постановление Администрации Колпашевского района от 18.02.2011 № 125 "О применении понижающих коэффициентов к нормативным расходам финансирования общеобразовательных учреждений"</t>
  </si>
  <si>
    <t>01.05.2011- 31.12.2011</t>
  </si>
  <si>
    <t>Решение Думы Колпашевского района от 14.02.2011 № 3 "О порядке использования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учреждениях"</t>
  </si>
  <si>
    <t>01.01.2011, не установлен</t>
  </si>
  <si>
    <t>Расходы на реализацию долгосрочной целевой программы "Медецинские кадры"  на 2011 - 2013 годы</t>
  </si>
  <si>
    <t>Постановление Администрации Колпашевского района от 14.10.2010 № 1288 "Об утверждении долгосрочной целевой программы "Медицинские кадры" на 2011 - 2013 годы"</t>
  </si>
  <si>
    <t>Решение Думы Колпашевского района от 29.11.2010 № 21 "О бюджете муниципального образования "Колпашевский район" на 2011 год" (в редакции от 24.12.2010 № 30, от 14.02.2011 № 1)</t>
  </si>
  <si>
    <t>п.15</t>
  </si>
  <si>
    <t>п.16</t>
  </si>
  <si>
    <t>Решение Думы Колпашевского района от 14.02.2011 № 5 "О мерах по реализации Закона Томской области от 17.12.2007 № 276-ОЗ "О выделении субвенций местным бюджетам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образования,а также дополнительного образования в рамках основных общеобразовательных программ в муниципальных общеобразовательных  учреждениях"</t>
  </si>
  <si>
    <t>Иные межбюджетные трансферты на проведение торжественных мероприятий, приуроченных ко Дню Защитника Отечества к Международному женскому дню</t>
  </si>
  <si>
    <t>Иные межбюджетные трансферты на оснащение вертолетной площадки</t>
  </si>
  <si>
    <t>Иные межбюджетные трансферты на оплату расходов тепловой энергии МУ "Инкинский СКДЦ"</t>
  </si>
  <si>
    <t>Иные межбюджетные трансферты на приобретение и установку приборов учета воды и тепла в административном здании Администрации поселения</t>
  </si>
  <si>
    <t>Иные межбюджетные трансферты на расходы, связанные с благоустройством поселения</t>
  </si>
  <si>
    <t>Иные межбюджетные трансферты на дорожную деятельность в отношении автомобильных дорог местного значения</t>
  </si>
  <si>
    <t>Иные межбюджетные трансферты на ремонт двух павильонов у водопроводных башен</t>
  </si>
  <si>
    <t>Иные межбюджетные трансферты на реализацию долгосрочной целевой программы "Подготовка спортивных сооружений к проведению на территории Колпашевского района финальных областных летних сельских спортивных игр "Стадион для всех" в 2013 году"</t>
  </si>
  <si>
    <t>Иные межбюджетные трансферты на реализацию мероприятий по организации уличного освещения</t>
  </si>
  <si>
    <t>Иные межбюджетные трансферты на приобретение сетей теплоснабжения для газовых котельных г. Колпашево и с. Тогур</t>
  </si>
  <si>
    <t>Решение Думы Колпашевского района от 13.07.2010 № 875 "Об утверждении Положения о поряке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МО "Колпашевский район" (в редакции от 23.08.2010 № 914, от 24.12.2010 № 32, от 18.03.2011 № 21)</t>
  </si>
  <si>
    <t>Решенин Думы Колпашевского района от 14.07.2006 № 181 "Об утверждении Положения об организации работ по содержанию и ремонту, автомобильных дорог общего пользования между населенными пунктами и дорожных сооружений вне границ населенных пунктов в границах МО "Колпашевский район" (в редакции от 17.07.2008 № 501, от 29.09.2010 № 919)</t>
  </si>
  <si>
    <t>Гл. 2-6 Положения</t>
  </si>
  <si>
    <t>01.08.2006, не установлен</t>
  </si>
  <si>
    <t>25.01.2011- 31.12.2011</t>
  </si>
  <si>
    <t>Расходы на предоставление субсидии на возмещение недополученных доходов, связвнных с предоставлением льготных услуг по перевозке речным транспортом населения</t>
  </si>
  <si>
    <t>Решение Думы Колпашевского района от 18.03.2011 № 25 "Об установлении льготы на пассажирские перевозки речным транспортом на период навигации 2011 года"</t>
  </si>
  <si>
    <t>18.03.2011- 31.12.2011</t>
  </si>
  <si>
    <t>Решение Думы Колпашевского района от 13.07.2010 № 875 "Об утвержлении Положения о порядке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муниципального образования "Колпашевский район" (в редакции от 23.08.2010 № 914, от 24.12.2010 № 32, от 18.03.2011 № 21)</t>
  </si>
  <si>
    <t xml:space="preserve">Решение Думы Колпашевского района от 10.12.05 № 34 "Об утверждении Положения о порядке предоставления и финансирования дошкольного образования на территории Колпашевского района" (в редакции от 29.03.06 № 120, от 29.06.06 № 170, от 13.10.06 № 209, от 28.08.2009 № 697, от 29.09.2010 № 918, от 18.03.2011 № 22) </t>
  </si>
  <si>
    <t>Решение Думы Колпашевского района от 30.07.2007 № 344 "О порядке финансирования муниципальных общеобразовательных учреждений ( в редакции от 26.12.2007 № 407; от 28.02.2008 № 437; от 23.07.2007 № 509, от 02.07.2009 № 676, от 26.02.2010 № 800, от 13.07.2010 № 876, от 24.12.2010 № 33), Постановление Главы Колпашевского района от 10.09.2009 № 934 "Об утверждении муниципальной адресной программы по проведению противоаврийных мероприятий в зданиях муниципальных общеобразовательных учреждений Колпашевского района в 2009 году (в редакции от 25.09.2009 № 1000)</t>
  </si>
  <si>
    <t>Решение Думы Колпашевского района от 24.12.2010 № 36 "О компенсации расходов на питание обучающимся муниципальных общеобразовательных учреждений Колпашевского района"</t>
  </si>
  <si>
    <t>Решение Думы Колпашевского района от 28.04.2008 № 463 "Об утверждении Положения об организации  отдыха  детей Колпашевского района в каникулярное время" (в редакции от 25.12.2009 № 757)</t>
  </si>
  <si>
    <t>Решение Думы Колпашевского района от 13.07.2010 № 875 "Об утверждении Положения о порядке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муниципального образования "Колпашевский район" (в редакции от 23.08.2010 № 914, от 24.12.2010 № 32, от 18.03.2011 № 21)</t>
  </si>
  <si>
    <t>Решение Думы Колпашевского района от 13.07.2010 № 875 "Об утверждении Положения о порядке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муниципального образования "Колпашевский район" (в редакции от 23.08.2010 № 914, от 24.12.2010 № 32, от 18.03..2011 № 21)</t>
  </si>
  <si>
    <t>Решение Думы Колпашевского района от 18.03.2011 № 28 "О применении в 2011 году коэффициентов к тарифам для населения по утилизации (захоронению) твёрдых бытовых отходов на полигонах г. Колпашево и с. Тогур"</t>
  </si>
  <si>
    <t>01.01.2011- 31.12.2011</t>
  </si>
  <si>
    <t>Постановление Администрации Колпашевского района от 21.03.2011 № 237 "О порядке и условиях предоставления субсидии на компенсацию разницы в тарифах для населения по утилизации (захоронению) твёрдых бытовых отходов на полигоне г. Колпашево и с. Тогур</t>
  </si>
  <si>
    <t>п. 1-6</t>
  </si>
  <si>
    <t>Решение Думы Колпашевского района от 18.03.2011 № 29 "О порядке использования в 2011 году средств бюджета мниципального образования "Колпашевский район" на проведение мероприятий в рамках реализации комплексной программы социально-экономического развития муниципального образования "Колпашевский район" на 2008-2012 годы в разделе "Сельское хозяйство"</t>
  </si>
  <si>
    <t>п.1-5</t>
  </si>
  <si>
    <t>Решение Думы Колпашевского района от 15.05.2008 № 476 "Об утверждении районной целевой программы "Поддержка и развитие малого и среднего предпринимательства в муниципальном образовании " Колпашевский район" на 2008-2012 годы (в редакции от 28.08.2008 № 532, от 08.09.2008 № 543, от 26.12.2008 № 587, от 28.10.2009 № 724, от 25.12.2009 № 761, от 28.01.2010 № 792, от 29.09.2010 № 925, от 18.03.11 № 30)</t>
  </si>
  <si>
    <t>Решение Думы Колпашевского района от 18.03.2011 № 20 "О порядке использования средств субсидии из областного бюджета на финансирование расходов, связанных с обеспечением условий для развития физической культуры и массового спорта на территории муниципального образования "Колпашевский район"</t>
  </si>
  <si>
    <t>п.1-7</t>
  </si>
  <si>
    <t>Решение Думы Колпашевского района от 29.11.2006 № 240 "Об утверждении Положения "Об организации и осуществлении мероприятий межпоселенческого характера по работе с детьми и молодежью на территории муниципального образования "Колпашевский район", распоряжение Главы Колпашевского района от 30.12.2010 № 1144 "Об утверждении плана проведения и сметы расходов по организации и осуществлению мероприятий межпоселенческого характера по работе с детьми и молодёжью на территории муниципального образования "Колпашевский район" за счёт средств бюджета муниципального образования "Колпашевский район" на 2011 год"</t>
  </si>
  <si>
    <t>Решение Думы Колпашевского района от 18.03.2011 № 23 "Об организации проведения районнных мероприятий и обеспечении участия в мероприятиях регионального, федерального уровней в сфере образования"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</si>
  <si>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 (в редакции от 18.06.2009 № 666, от 28.01.2010 № 781, от 17.06.2010 № 848); Постановление Администрации Колпашевского района от 30.06.2010 № 860 "Об установлении расходного обязательства муниципального образования "Колпашевский район" по осуществлению отдельных государственных полномочий по созданию и обеспечению деятельности комиссий по делам несовершенннолетних и защите их прав"</t>
  </si>
  <si>
    <t xml:space="preserve">Решение Думы Колпашевского района от 24.03.2008 № 446 "Об утверждении положения о бюджетном процессе в муниципальном образовании "Колпашевский район"  (в редакции от 18.06.2009 № 666, от 28.01.2010 № 781, от 17.06.2010 № 848); Постановление Администрации Колпашевского района от 29.06.2010 № 845 "Об установлении расходных обязательств по осуществлению отдельных государственных полномочий по расчету и предоставлению дотаций поселениям, входящим в состав МО "Колпашевский район" 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</si>
  <si>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30.06.2010 № 863 "Об установлении расходных обязательств по осуществлению отдельных государственных полномочий"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</si>
  <si>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 от 30.06.2010 № 855 "Об установлении расходных обязательств по осуществлению отдельных государственных полномочий по государственной поддержке с/х производства"</t>
  </si>
  <si>
    <t xml:space="preserve">Решение Думы Колпашевского района от 24.03.2008 № 446 "Об утверждении положения обюджетном процессе в муниципальном образовании "Колпашевский район" (в редакции от 18.06.2009 № 666, 28.01.2010 № 781, от 17.06.2010 № 848); Постановление Администрации Колпашевского района от 30.06.2010 № 863 "Об установлении расходных обязательств по осуществлению отдельных государственных полномочий" </t>
  </si>
  <si>
    <t xml:space="preserve">Решение Думы Колпашевского района от 24.03.2008 № 446 "Об утверждении положения обюджетном процессе в муниципальном образовании "Колпашевский район" (в редакции от 18.06.2009 № 666, 28.01.2010 № 781, от 17.06.2010 № 848); Постановление Администрации Колпашевского района от 30.06.2010 №863 "Об установлении расходных обязательств по осуществлению отдельных государственных полномочий" </t>
  </si>
  <si>
    <t>п.1.3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</si>
  <si>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30.06.2010 № 866 "Об установлении расходного обязательства МО "Колпашевский район" по осуществлению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в Томской области"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</si>
  <si>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28.01.2010 № 781, от 17.06.2010 № 848); Постановление Администрации Колпашевского района от 30.06.2010 № 865 "Об установлении расходного обязательства МО "Колпашевский район" по осуществлению отдельных государственных полномочий по созданию и обеспечению деятельности административных комиссий"</t>
  </si>
  <si>
    <t>Решение Думы Колпашевского района от 24.03.2008 № 446 "Об утверждении Положения о бюджетном процессе в МО "Колпашевский район"(в редакции от 18.06.2009 № 666, от 28.01.2010 № 781, от 17.06.2010 № 848); Постановление Администрации Колпашевского района от 28.06.2010 № 828 "Об установлении расходных обязательств по осуществлению отдельных государственных полномочий по воспитанию и обучению детей-инвалидов в МДОУ"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</si>
  <si>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30.06.2010 № 864 "Об установлении расходного обязательства МО "Колпашевский район" по осуществлению отдельных государственных полномочий по осуществлению денежных выплат медицинскому персоналу ФАП, врачам, фельдшерам и медицинским сестрам учреждений и подразделений скорой медицинской помощи муниципальной системы здравоохранения Томской области"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</si>
  <si>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25.06.2010 № 824 "Об установлении расходных обязательств по осуществлению отдельных государственных полномочий по проведению аттестации педагогических работников МОУ на первую и вторую квалификационную категорию"</t>
  </si>
  <si>
    <t xml:space="preserve">Решение Думы Колпашевского района от  24.03.2008 № 446 "Об утверждении положения о бюджетном процессе в муниципальном образовании "Колпашевский район" (в редакции от 18.06.2009 № 666, 28.01.2010 № 781, от 17.06.2010 № 848, от 13.07.2010 № 873); Постановление Администрации Колпашевского района от 30.06.2010 № 862 "Об установлении расходных обязательств по осуществлению отдельных государственных полномочий по составлению (изменению и дополнению) списков кандидатов в присяжные заседатели федеральных судов общей юрисдикции в РФ"         </t>
  </si>
  <si>
    <t xml:space="preserve"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29.06.2010 № 846 "Об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маршрутам" 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</si>
  <si>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30.06.2010 № 861 "Об установлении расходного бязательства МО "Колпашевский район" по осуществлению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</si>
  <si>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 от 26.06.2010 № 829 "Об установлении расходных обязательств по осуществлению отдельных государственных полномочий по выплате надбавок к тарифной ставке (должностному окладу) педагогическим работникам и руководителм МОУ"</t>
  </si>
  <si>
    <t>Гл. 6-10</t>
  </si>
  <si>
    <t>ст. 6</t>
  </si>
  <si>
    <t>2013 год</t>
  </si>
  <si>
    <t>Распоряжение Губернатора Томской области от 24.06.2010 № 191-р "О распределении и расходовании субсидии из федерального бюджета на закупку автотранспортных 
средств и коммунальной техники на 2010 год и определении уполномоченных органов"</t>
  </si>
  <si>
    <t>24.06.2010- 31.12.2010</t>
  </si>
  <si>
    <t xml:space="preserve">16.10.2003, не установлен </t>
  </si>
  <si>
    <t>Федеральный Закон от 12.01.1996 № 7-ФЗ "О некоммерческих организациях"</t>
  </si>
  <si>
    <t>24.01.1996, не установлен</t>
  </si>
  <si>
    <t>Федеральный Закон от 21.07.2005 № 94-ФЗ "О размещении заказов на поставки товаров, выполнение работ, оказание услуг для государственных и муниципальных нужд"</t>
  </si>
  <si>
    <t>ст. 4 часть 2, ст.17, 18</t>
  </si>
  <si>
    <t>Постановление Администрации Томской области от 13 мая 2010 г. N 94а "О Порядке предоставления из областного бюджета субсидий бюджетам муниципальных образований Томской области и их расходования"</t>
  </si>
  <si>
    <t>п.2 п.п3, п.17</t>
  </si>
  <si>
    <t>13.05.2010, не установлен</t>
  </si>
  <si>
    <t>Распоряжение Томской области от 30.06.2010 № 552-ра "О выделении бюджетных ассигнований бюджету МО "Колпашевский район"</t>
  </si>
  <si>
    <t>30.06.2010- 31.12.2010</t>
  </si>
  <si>
    <t>Федеральный закон от 21.12.1994 N 68-ФЗ "О защите населения и территорий от чрезвычайных ситуаций природного и техногенного характера"</t>
  </si>
  <si>
    <t>ст.4</t>
  </si>
  <si>
    <t>24.12.1994, не установлен</t>
  </si>
  <si>
    <t>Федеральный закон от 12.02.1998 N 28-ФЗ "О гражданской обороне"</t>
  </si>
  <si>
    <t>ст.18</t>
  </si>
  <si>
    <t>16.02.1998, не установлен</t>
  </si>
  <si>
    <t xml:space="preserve">Распоряжение Администрации Томской области от 14.10.2009 г. N 721-ра "О выделении бюджетных ассигнований бюджету муниципального образования "Колпашевский район" </t>
  </si>
  <si>
    <t>14.10.2009- 15.04.2010</t>
  </si>
  <si>
    <t>Закон Томской области от 11.11.2005 N 206-ОЗ "О защите населения и территорий Томской области от чрезвычайных ситуаций природного и техногенного характера"</t>
  </si>
  <si>
    <t>ст.10, 11</t>
  </si>
  <si>
    <t>03.12.2005, не установлен</t>
  </si>
  <si>
    <t>Постановление Администрации Томской области от 17.08.2007 N 122а "Об утверждении Положения о территориальной подсистеме единой государственной системы предупреждения и ликвидации чрезвычайных ситуаций Томской области"</t>
  </si>
  <si>
    <t>17.08.2007, не установлен</t>
  </si>
  <si>
    <t>Распоряжение Администрации Томской области от 16.11.2010 N 990-ра "Об организации обучения населения в области гражданской обороны, защиты от чрезвычайных ситуаций природного и техногенного характера"</t>
  </si>
  <si>
    <t>16.11.2010, не установлен</t>
  </si>
  <si>
    <t>Распоряжение Администрации Томской области от 20.12.2010 № 1120-ра "О выделении бюджетных ассигнований бюджету МО "Колпашевский район"</t>
  </si>
  <si>
    <t>20.12.2010- 15.03.2011</t>
  </si>
  <si>
    <t>Распоряжение Администрации Томской области от 21.10.2010 № 894-ра "О выделении бюджетных ассигнований бюджету МО "Колпашевский район"</t>
  </si>
  <si>
    <t>21.10.2010- 20.11.2010</t>
  </si>
  <si>
    <t>Распоряжение Администрации Томской области от 01.12.2010 № 1035-ра "О частичном покрытии расходов на финансовое обеспечение мероприятий, связанных с ликвидацией последствий паводка, произошедшего в апреле - мае 2010 года"</t>
  </si>
  <si>
    <t>01.12.2010- 28.02.2011</t>
  </si>
  <si>
    <t>ст.31 п. 2,4</t>
  </si>
  <si>
    <t>ст. 51, п. 5</t>
  </si>
  <si>
    <t xml:space="preserve">Закон Томской области от 28.12.2010 г. N 327-ОЗ "Об областном бюджете на 2011 год и на плановый период 2012 и 2013 годов" </t>
  </si>
  <si>
    <t>табл. 1 прил.16</t>
  </si>
  <si>
    <t>Постановление Администрации Томской области от 28.01.2011 N 19а "О порядке предоставления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учреждениях"</t>
  </si>
  <si>
    <t>10.02.2011, не установлен</t>
  </si>
  <si>
    <t>Распоряжение Администрации Томской области от 29.03.2010 № 15-р-в "О выделении бюджетных ассигнований из резервного фонда финансирования непредвиденных расходов Администрации Томской области"</t>
  </si>
  <si>
    <t>29.03.2010- 31.08.2010</t>
  </si>
  <si>
    <t>Постановление Администрации Томской области от 14.04.2010 N 75а "Об утверждении Порядка предоставления иных межбюджетных трансфертов на выплату в 2010 году стипендии Губернатора Томской области лучшим учителям муниципальных образовательных учреждений Томской области"</t>
  </si>
  <si>
    <t>01.04.2010- 31.12.2010</t>
  </si>
  <si>
    <t>п.2 п.п.8), п.22</t>
  </si>
  <si>
    <t>Постановление Правительства РФ от 31.03.2009 N 277 "Об утверждении Положения о лицензировании образовательной деятельности"</t>
  </si>
  <si>
    <t>01.07.2009, не установлен</t>
  </si>
  <si>
    <t>Постановление Администрации Томской области от 01.12.2010 N 237а "Об утверждении распределения финансовых средств и Порядка предоставления иных межбюджетных трансфертов на выплату в 2010 году денежного поощрения коллективам муниципальных образовательных учреждений Томской области, 
внедряющих инновационные образовательные программы, победивших в конкурсном отборе"</t>
  </si>
  <si>
    <t>Приказ Министерства здравоохранения и социального развития РФ от 29.07.2005 N 487 "Об утверждении Порядка организации оказания первичной медико-санитарной помощи"</t>
  </si>
  <si>
    <t>п.2-10</t>
  </si>
  <si>
    <t>13.09.2005, не установлен</t>
  </si>
  <si>
    <t>Закон Томской области от 17.12.2007 N 270-ОЗ "Об утверждении областной целевой программы "Пожарная безопасность на объектах бюджетной сферы Томской области на 2008-2010 годы"</t>
  </si>
  <si>
    <t>ст. 1</t>
  </si>
  <si>
    <t>30.12.2007- 31.12.2010</t>
  </si>
  <si>
    <t>Закон Томской области от 13.12.2006 N 314-ОЗ "О предоставлении субсидий местным бюджетам на обеспечение условий для развития физической культуры и массового спорта"</t>
  </si>
  <si>
    <t>07.01.2007, не установлен</t>
  </si>
  <si>
    <t>Закон Томской области от 06.04.2009 N 47-ОЗ "О профилактике правонарушений в Томской области"</t>
  </si>
  <si>
    <t xml:space="preserve">Федеральный Закон от 06.10.2003 № 131-ФЗ "Об общих принципах организации местного самоуправления" </t>
  </si>
  <si>
    <t>Гл. 4</t>
  </si>
  <si>
    <t>25.04.2009, не установлен</t>
  </si>
  <si>
    <t>Закон Томской области от 07.06.2006 N 121-ОЗ "Об утверждении областной целевой программы "Патриотическое воспитание граждан на территории Томской области на 2006-2010 годы"</t>
  </si>
  <si>
    <t>17.06.2006 - 31.12.2010</t>
  </si>
  <si>
    <t>Федеральный закон от 10.12.1995 N 196-ФЗ "О безопасности дорожного движения"</t>
  </si>
  <si>
    <t>Гл. 3, ст. 10</t>
  </si>
  <si>
    <t>11.12.1995, не установлен</t>
  </si>
  <si>
    <t xml:space="preserve">Распоряжение Администрации Томской области от 10.12.2009 № 894-ра "Об утверждении программы "Профилактика детского дорожно-транспортного травматизма на территории Томской области в 2010 - 2011 годах"
</t>
  </si>
  <si>
    <t>10.12.2009- 31.12.2011</t>
  </si>
  <si>
    <t>Ст. 1-2</t>
  </si>
  <si>
    <t>вводится ежегодно ЗТО об областном бюджете на очередной финансовый год</t>
  </si>
  <si>
    <t>Федеральный закон от 22.10.2004 N 125-ФЗ "Об архивном деле в Российской Федерации"</t>
  </si>
  <si>
    <t>ст. 18</t>
  </si>
  <si>
    <t>27.10.2004, не установлен</t>
  </si>
  <si>
    <t>Федеральный закон от 24.06.1999 N 120-ФЗ "Об основах системы профилактики безнадзорности и правонарушений несовершеннолетних"</t>
  </si>
  <si>
    <t>Закон Томской области от 29.12.2005 N 241-ОЗ "О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прав"</t>
  </si>
  <si>
    <t xml:space="preserve">Закон Томской области от 10.11.2006 N 261-ОЗ "О наделении органов местного самоуправления отдельными государственными полномочиями по хранению, комплектованию, учету и использованию архивных документов, относящихся к собственности Томской области" </t>
  </si>
  <si>
    <t>Федеральный закон от 24.04.2008 N 48-ФЗ "Об опеке и попечительстве"</t>
  </si>
  <si>
    <t>01.09.2008, не установлен</t>
  </si>
  <si>
    <t>Закон Томской области от 15.12.2004 N 246-ОЗ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</t>
  </si>
  <si>
    <t>ст.1 п.п.1)</t>
  </si>
  <si>
    <t xml:space="preserve">Закон Томской области от 14.10.2005 N 191-ОЗ "О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бюджета" </t>
  </si>
  <si>
    <t>Закон Томской области от 29.12.2005 N 248-ОЗ "О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производства"</t>
  </si>
  <si>
    <t>Закон Томской области от 15.12.2004 N 248-ОЗ "О наделении органов местного самоуправления отдельными государственными полномочиями по выплате надбавок к тарифной ставке (должностному окладу) педагогическим работникам и руководителям муниципальных образовательных учреждений"</t>
  </si>
  <si>
    <t>Постановление Правительства РФ от 31.12.2010 N 1238 "О порядке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 муниципальных образовательных учреждений"</t>
  </si>
  <si>
    <t xml:space="preserve">01.01.2011, не установлен; </t>
  </si>
  <si>
    <t>01.01.2006 - 31.12.2011</t>
  </si>
  <si>
    <t>ст.29 п. 6.1.</t>
  </si>
  <si>
    <t>Закон Томской области от 27.01.2006 N 3-ОЗ "Об условиях и порядке выплаты педагогическим работникам областных государственных и муниципальных образовательных учреждений Томской области вознаграждения за выполнение функций классного руководителя"</t>
  </si>
  <si>
    <t xml:space="preserve">Закон Томской области от 17.12.2007 N 276-ОЗ "О выделении субвенций местным бюджетам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рамках общеобразовательных программ в муниципальных общеобразовательных учреждениях" </t>
  </si>
  <si>
    <t>Федеральный закон от 25.10.2002 № 125-ФЗ "О жилищных субсидиях гражданам, выезжающим из районов Крайнего Севера и приравненных к ним местностей"</t>
  </si>
  <si>
    <t>ст.10</t>
  </si>
  <si>
    <t>01.01.2003, не установлен</t>
  </si>
  <si>
    <t xml:space="preserve">Закон Томской области от 13.04.2006 N 73-ОЗ "О наделении органов местного самоуправления государственными полномочиями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</t>
  </si>
  <si>
    <t xml:space="preserve">Закон Томской области от 18.03.2003 N 36-ОЗ "О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маршрутам" </t>
  </si>
  <si>
    <t>Федеральный закон от 20.08.2004 N 113-ФЗ "О присяжных заседателях федеральных судов общей юрисдикции в Российской Федерации"</t>
  </si>
  <si>
    <t xml:space="preserve">Закон Томской области от 28.12.2006 N 325-ОЗ "Об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ежегодному изменению и дополнению списков кандидатов в присяжные заседатели федеральных судов общей юрисдикции в Российской Федерации" </t>
  </si>
  <si>
    <t xml:space="preserve">Закон Томской области от 11.09.2007 N 188-ОЗ "О наделении органов местного самоуправления государственными полномочиями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помещения" </t>
  </si>
  <si>
    <t>ст. 29</t>
  </si>
  <si>
    <t>Закон Томской области от 13.11.2008 N 231-ОЗ "О наделении органов местного самоуправления отдельными государственными полномочиями по проведению аттестации педагогических работников муниципальных образовательных учреждений на первую и вторую квалификационные категории"</t>
  </si>
  <si>
    <t>ст.5</t>
  </si>
  <si>
    <t>01.01.2009- 31.12.2010</t>
  </si>
  <si>
    <t>вводится в действие ежегодно</t>
  </si>
  <si>
    <t>Закон Томской области от 11.01.2007 N 15-ОЗ "Об условиях, размере и порядке осуществления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помощи"</t>
  </si>
  <si>
    <t>Федеральный закон от 21 декабря 1996 г. N 159-ФЗ
"О дополнительных гарантиях по социальной поддержке детей-сирот и детей, оставшихся без попечения родителей"</t>
  </si>
  <si>
    <t>23.12.1996, не установлен</t>
  </si>
  <si>
    <t xml:space="preserve">Закон Томской области от 07.07.2009 N 104-ОЗ "О наделении органов местного самоуправления отдельными государственными полномочиями по предоставлению, переоформлению и изъятию горных отводов для разработки месторождений и проявлений общераспространенных полезных ископаемых" </t>
  </si>
  <si>
    <t>ст.3</t>
  </si>
  <si>
    <t>ст.1 п.п.5)</t>
  </si>
  <si>
    <t>Закон Томской области от 24.11.2009 N 261-ОЗ "О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области"</t>
  </si>
  <si>
    <t>Закон Томской области от 08.09.2009 N 173-ОЗ "О наделении органов местного самоуправления отдельными государственными полномочиями по воспитанию и обучению детей-инвалидов в муниципальных дошкольных образовательных учреждениях"</t>
  </si>
  <si>
    <t>ст. 1-6</t>
  </si>
  <si>
    <t>Федеральный закон от 25 января 2002 г. N 8-ФЗ
"О Всероссийской переписи населения"</t>
  </si>
  <si>
    <t>ст.11</t>
  </si>
  <si>
    <t>29.01.2002, не установлен</t>
  </si>
  <si>
    <t>Закон Томской области от 14.05.2010 N 87-ОЗ "О наделении органов местного самоуправления отдельными гсударственными полномочиями по подготовке и проведению на территории Томской области Всероссийской переписи населения 2010 года"</t>
  </si>
  <si>
    <t>Постановление Администрации Томской области от 18.06.2009 N 106а "О мерах по улучшению жилищных условий граждан, проживающих в сельской местности на территории Томской области"</t>
  </si>
  <si>
    <t>03.03.2009, не установлен</t>
  </si>
  <si>
    <t>ст.15.1</t>
  </si>
  <si>
    <t>Постановление Администрации Томской области от 27.02.2008 N 32а "Об утверждении Порядка использования бюджетных ассигнований резервного фонда финансирования непредвиденных расходов Администрации Томской области"</t>
  </si>
  <si>
    <t>27.02.2008, не установлен</t>
  </si>
  <si>
    <t>Распоряжение Администрации Томской области от 30.03.2010 N 229-ра "О выделении бюджетных ассигнований бюджетам муниципальных образований Томской области"</t>
  </si>
  <si>
    <t>п.2</t>
  </si>
  <si>
    <t>30.03.2010- 31.01.2011</t>
  </si>
  <si>
    <t>Постановление Правительства РФ от 17.09.2001 N 675 "О федеральной целевой программе "Жилище" на 2002 - 2010 годы"</t>
  </si>
  <si>
    <t>п.6</t>
  </si>
  <si>
    <t>17.09.2001- 31.12.2010</t>
  </si>
  <si>
    <t>Постановление Правительства РФ от 17.12.2010 N 1050 "О федеральной целевой программе "Жилище" на 2011 - 2015 годы"</t>
  </si>
  <si>
    <t>01.01.2010 -31.12.2015</t>
  </si>
  <si>
    <t>Постановление Правительства РФ от 03.12.2002 N 858 "О федеральной целевой программе "Социальное развитие села до 2012 года"</t>
  </si>
  <si>
    <t>03.12.02- 31.122012</t>
  </si>
  <si>
    <t>Федеральный закон от 12.01.1996 N 7-ФЗ "О некоммерческих организациях"</t>
  </si>
  <si>
    <t>ст.31</t>
  </si>
  <si>
    <t>Распоряжение Администрации Томской области от 24.09.2010 N 61-р-в "О выделении бюджетных ассигнований из резервного фонда финансирования непредвиденных расходов Администрации Томской области"</t>
  </si>
  <si>
    <t>24.09.2010- 31.12.2010</t>
  </si>
  <si>
    <t>Распоряжение Администрации Томской области от 24.09.2010 N 807-ра "О выделении бюджетных ассигнований бюджету муниципального образования "Колпашевский район"</t>
  </si>
  <si>
    <t>Постановление Правительства РФ от 17 сентября 2001 г. N 675
"О федеральной целевой программе "Жилище" на 2002 - 2010 годы"</t>
  </si>
  <si>
    <t>25.06.2002, не установлен</t>
  </si>
  <si>
    <t>Постановление Правительства РФ от 30.12.2003 N 794 "О единой государственной системе предупреждения и ликвидации чрезвычайных ситуаций"</t>
  </si>
  <si>
    <t>п.22</t>
  </si>
  <si>
    <t>Федеральный закон от 29 декабря 2006 г. N 264-ФЗ
"О развитии сельского хозяйства"</t>
  </si>
  <si>
    <t>ст.7</t>
  </si>
  <si>
    <t>Кодекс Российской Федерации об административных правонарушениях
от 30 декабря 2001 г. N 195-ФЗ</t>
  </si>
  <si>
    <t>ст.22.1</t>
  </si>
  <si>
    <t>01.07.2002, не установлен</t>
  </si>
  <si>
    <t>Федеральный закон от 24 ноября 1995 г. N 181-ФЗ
"О социальной защите инвалидов в Российской Федерации"</t>
  </si>
  <si>
    <t>01.01.1996, не установлен</t>
  </si>
  <si>
    <t>Решение Думы Колпашевского района от 25.04.2011 № 37 "О порядке использования средств субсидии на компенсацию расходов по организацииэлектроснабжения от дизельных электростанций в муниципальном образовании "Колпашевский район"</t>
  </si>
  <si>
    <t>25.04.2011, не установлен</t>
  </si>
  <si>
    <t>Расходы в соответствии с распоряжением АТО от 28.03.2011 № 14-р-в МДОУ "Чажемтовский детский сад" на приобретение элементов детской игровой площадки</t>
  </si>
  <si>
    <t>Расходы в соответствии с распоряжением АТО от 21.03.2011 № 10-р-в МУ ДОД "ДЮСШ имени О.Рахматулиной" на укрепление спортивной базы</t>
  </si>
  <si>
    <t>Гл.3, ст.16</t>
  </si>
  <si>
    <t>МБТ на стимулирующие выплаты в муниципальных дошкольных общеобразовательных учреждениях</t>
  </si>
  <si>
    <t>Постановление Администрации Томской области от 10.02.2011 № 27а "О порядке предоставления иных межбюджетных трансфертов на стимулирующие выплаты в муниципальных дошкольных дошкольных образовательных учреждениях Томской области"</t>
  </si>
  <si>
    <t>Гл.3, ст.17</t>
  </si>
  <si>
    <t>01.02.2011, не установлен</t>
  </si>
  <si>
    <t>Решение Думы Колпашевского района от 18.03.2011 № 24 "О порядке использования иных межбюджетных трансфертов на стимулирующие выплаты в муниципальных дошкольных образовательных учреждениях Томской области"</t>
  </si>
  <si>
    <t>Решение Думы Колпашевского района от 30.07.07 № 344 "О порядке финансирования муниципальных общеобразовательных учреждений" (в редакции  от 26.12.2007 № 407, от 28.02.2008 № 437; от 23.07.2008 № 509, от 02.07.2009 № 676, от 26.02.2010 № 800, от 13.07.2010 № 876, от 24.12.2010 № 33, от 25.04.2011 № 38)</t>
  </si>
  <si>
    <t>Решение Думы Колпашевского района от 16.04.2010 № 822 "Об использовании средств субсидии на организацию отдыха детей Колпашевского района в каникулярное время"; постановление Администрации Колпашевского района Томской области от 28.03.2011 № 259 "О порядке преобретения и предоставления путёвок в загородные стационарные оздоровительные учреждения, расположенные на территории РФ, на целевые смены и в специализированные (профильные) лагеря, расположенные на территории РФ"</t>
  </si>
  <si>
    <t>Решение Думы Колпашевского района от 30.03.2007 № 307 "Об утверждении Положения об обеспечении условий для развития на территории муниципальногообразования "Колпашевский район"физической культуры и массового спорта , организация проведения официальных физкультурно-оздоровительных мероприятий Колпашевского района (в редакции от 30.08.2007 № 356, от 28.08.2007 № 525, от 24.05.2010 № 835, от 25.04.2011 № 39), решение Думы Колпашевского района от 28.10.2009 № 716 " Об использовании средств местного бюджета на финансирование расходов, связанных с участием обучающихся муниципальных образовательных учреждений муниципального образования "Колпашевский район" в спортивных мероприятиях районного, регионального, межрегионального и федерального уровней"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</si>
  <si>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30.06.2010г. № 858 "Об установлении расходного обязательства МО "Колпашевский район" по осуществлению отдельных государственных полномочий по ТО по хранению, комплектованию, учету и использованию архивных документов, относящихся к государственной собственности ТО и находящихся на территории МО "Колпашевский район" (в редакции от 07.04.2011 № 322)</t>
  </si>
  <si>
    <t>Субвенция на возмещение возмещение гражданам, ведущим личное подсобное хозяйство, с/х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с/х кредитных потребительских кооперативах в 2005 - 2011 годах на срок до 8 лет</t>
  </si>
  <si>
    <t>Расходы на издание книги "И помнит мир спасенный Колпашевских бойцов"</t>
  </si>
  <si>
    <t>Расходы на проведение ремонта жилых помещений ветеранам ВОВ 1941-1945 гг. тружинникам тыла и другим категориям граждан</t>
  </si>
  <si>
    <t>Расходы в соответствии с распоряжением АТО от 31.01.2011 № 45-ра) на проведение социологических исследований</t>
  </si>
  <si>
    <t>Расходы в соответствии с распоряжением АТО от 28.03.2011 № 14-р-в на приобретение железобетонных конструкций для строительства храма "Церковь Вознесения" в г.Колпашево</t>
  </si>
  <si>
    <t>Иные межбюджетные трансферты в соответствии с распоряжением АТО от 28.03.2011 № 14-р-в на укрепление материально-технической базы ДК с.Озерное</t>
  </si>
  <si>
    <t>Иные межбюджетные трансферты в соответствии с распоряжением АТО от 21.03.2011 № 10-р-в на укрепление материально-технической базы ДК "Рыбник"</t>
  </si>
  <si>
    <t>Иные межбюджетные трансферты на поощрение поселенческих команд, учавствовавших в 4-й межпоселенческой спартакиаде в с.Копыловка</t>
  </si>
  <si>
    <t>Иные межбюджетные трансферты на разработку проекта генерального плана Колпашевского городского поселения Колпашевского района ТО и правил землепользования и застройки</t>
  </si>
  <si>
    <t>Иные межбюджетные трансферты на примирование победителей областного ежегодного конкурса на звание "Самое благоустроенное образование Томской области"</t>
  </si>
  <si>
    <t>Распоряжение Администрации Колпашевского района от 25.01.2011 № 23 "О распределении денежных средств на осуществление дорожной деятельности в отношении автомобильных дорог местного значения,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 в границах МО "Колпашевский район" на 2011 год" (в редакции от 14.04.2011 № 278)</t>
  </si>
  <si>
    <t>Постановление Администрации Колпашевского района от 20.04.2011 № 362 "Об утверждении порядка и условий предоставления льготных услуг по перевозкам речным транспортом населения по маршрутам "Тогур-Копыловка", "Тогур-Лебяжье"</t>
  </si>
  <si>
    <t>20.04.2011- 31.12.2011</t>
  </si>
  <si>
    <t>Решение Думы Колпашевского района от 15.05.2008 № 476 "Об утверждении районной целевой программы "Поддержка и развитие малого и среднего предпринимательства в муниципальном образовании  "Колпашевский район" на 2008-2012 годы" (в редакции от 26.10.2008 № 532, от 08.09.2008 № 543, от  26.12.2008 № 587, от 28.10.2009 № 724, от 25.12.2009 № 761, от 28.01.2010 № 792, от 29.09.2010 № 925, от 18.03.2011 № 30, 25.04.2011 № 43)</t>
  </si>
  <si>
    <t>Решение Думы Колпашевского района от 25.04.2011 № 40 "О порядке использования в 2011 году средств бюджета муниципального образования "Колпашевский район" на издание книги "И помнит мир спасённый Колпашевских бойцов"</t>
  </si>
  <si>
    <t>25.04.2011- 31.12.2011</t>
  </si>
  <si>
    <t>Постановление Администрации Колпашевского района от 10.02.2011 № 100 "О порядке расходования средств субсидии из резервного фонда финансирования непредвиденных расходов Администрации Томской области для проведения социологических исследований"</t>
  </si>
  <si>
    <t>10.02.2011 - 31.03.2011</t>
  </si>
  <si>
    <t>Субсидия на развитие инфраструктуры дошкольного образования</t>
  </si>
  <si>
    <t>п.2 п.п.6</t>
  </si>
  <si>
    <t>Решение Думы Колпашевского района от 20.06.2011 № 59 "О порядке использования средств субсидии  из областного бюджета на развитие инфраструктуры дошкольного образования муниципальных образований Томской области"</t>
  </si>
  <si>
    <t>18.04.2011- 31.12.2011</t>
  </si>
  <si>
    <t>Расходы в соответствии с распоряжением Администрации ТО от 31.05.2011 № 35-р-в МУ ДОД "ДЮСШ имени О.Рахматулиной" на укрепление спортивной базы</t>
  </si>
  <si>
    <t>Распоряжение Администрации Томской области от 31.05.2011 № 35-р-в "О выделении бюджетных ассигнований из резервного фонда финансирования непредвиденных расходов Администрации Томской области"</t>
  </si>
  <si>
    <t>п.1 п.п.7</t>
  </si>
  <si>
    <t>31.05.2011- 31.12.2011</t>
  </si>
  <si>
    <t>Расходы на проведение корректировки проектно-сметной документации на реконструкцию здания МОУ "Новогоренская ООШ"</t>
  </si>
  <si>
    <t>Субсидия на оснащение школьных автобусов аппаратурой спутниковой навигации ГЛОНАС</t>
  </si>
  <si>
    <t>п.2 п.п.13</t>
  </si>
  <si>
    <t>Стипендии Губернатора ТО лучшим учителям областных государственных и муниципальных образовательных учреждений ТО в соответствии с порядком, установленным Администрацией ТО</t>
  </si>
  <si>
    <t>Постановление Администрации Томской области от 20.04.2011 № 108а "Об утверждении Порядка предоставления иныхмежбюджетных трансфертов на выплату в 2011 году стипендии Губернатора Томской области лучшим учителям муниципальных образовательных учреждений Томской области"</t>
  </si>
  <si>
    <t>Решение Думы Колпашевского района от 23.05.2011  №  48 "О порядке использования иных межбюджетных трансфертов на выплату в 2011 году стипендии Губернатора Томской области лучшим учителям муниципальных общеобразовательных учреждений Томской области"</t>
  </si>
  <si>
    <t>Постановление Правительства РФ от 3.12.2002 г. N 858 "О федеральной целевой программе "Социальное развитие села до 2013 года"</t>
  </si>
  <si>
    <t>03.12.2002, не установлен</t>
  </si>
  <si>
    <t xml:space="preserve">Закон Томской области от 19.02.2004 N 30-ОЗ "Об утверждении областной целевой программы "Социальное развитие села Томской области до 2012 года" </t>
  </si>
  <si>
    <t>ст.1</t>
  </si>
  <si>
    <t>24.02.2004, не установлен</t>
  </si>
  <si>
    <t>Решение Думы Колпашевского района от 23.05.2011  №  51 "О порядке использования средств бюджета МО «Колпашевский район» на проведение мероприятий по улучшению жилищных условий граждан, проживающих в сельской местности"</t>
  </si>
  <si>
    <t>23.05.2011- 31.12.2011</t>
  </si>
  <si>
    <t>Расходы в соответствии с распоряжением АТО от 20.04.2011 № 22-р-в на приобретение железобетонных конструкций для строительства храма "Церковь Вознесения" в г.Колпашево</t>
  </si>
  <si>
    <t>Постановление Администрации Колпашевского района от 11.05.2011 № 442 "О порядке предоставления субсидии Томскому Региональному Общественному Благотворительному Фонду "Колпашевская церковь Вознесения" на возмещение затрат, связанных со строительством храма "Церковь Вознесения" в г. Колпашево"</t>
  </si>
  <si>
    <t>11.05.2011- 31.12.2011</t>
  </si>
  <si>
    <t>Распоряжение Администрации Томской области от 20.04.2011 N 22-р-в "О выделении бюджетных ассигнований из резервного фонда финансирования непредвиденных расходов Администрации Томской области"</t>
  </si>
  <si>
    <t>Распоряжение Администрации Томской области от 28.03.2011 N 14-р-в "О выделении бюджетных ассигнований из резервного фонда финансирования непредвиденных расходов Администрации Томской области"</t>
  </si>
  <si>
    <t>28.03.2011- 31.12.2011</t>
  </si>
  <si>
    <t>Софинансирование расходов для ремонта и (или) переустройства жилых помещений граждан, не состоящих на учете в качестве нуждающихся в улучшении жилищных условий и не реализовавших свое право на улучшение жилищных условий (в соответствии с распоряжением АТО от 06.05.2011 № 382-ра)</t>
  </si>
  <si>
    <t>Распоряжение Администрации Томской области от 06.05.2011 N 382-ра "О выделении бюджетных ассигнований бюджетам муниципальных образований Томской области"</t>
  </si>
  <si>
    <t>06.05.2011- 31.12.2011</t>
  </si>
  <si>
    <t>Федеральный закон от 12.01.1995 N 5-ФЗ "О ветеранах"</t>
  </si>
  <si>
    <t>ст. 21</t>
  </si>
  <si>
    <t>16.01.1995, не установлен</t>
  </si>
  <si>
    <t>Решение Думы Колпашевского района от 20.06.2011 № 73 "О предоставлении за счет средств бюджета муниципального образования "Колпашевский район" социальной помощи на ремонт и (или) переустройство жилых помещений граждан, не состоящих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2009-2011 годах, из числа: участников и инвалидов Великой Отечественной войны 1941-1945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брак"</t>
  </si>
  <si>
    <t>20.06.2011- 31.12.2011</t>
  </si>
  <si>
    <t>Иные межбюджетные трансферты для МУ "ЦКД" на приобретение танцевальной обуви для ансамбля русской песни ГДК (в соответствии с распоряжением Администрации ТО от 13.05.2011 № 29-р-в)</t>
  </si>
  <si>
    <t>Иные межбюджетные трансферты для финансового обеспечения работ по устройству противопожарных защитных (минерализированных) полос для защиты с.Копыловка, копыловского сельского поселения, расположенного в 100 метрах от леса (в соответствии с распоряжением Администрации ТО от 04.05.2011 № 365-ра)</t>
  </si>
  <si>
    <t>Иные межбюджетные трансферты на приобретение материалов для ремонта канализационной системы домов по адресу: г.Колпашево, ул. Чапаева, 18/1, 20/1 (в соответствиии с распоряжением АТО от 20.04.2011 № 22-р-в)</t>
  </si>
  <si>
    <t>Иные межбюджетные трансферты на приобретение автомобиля УАЗ 220694 для перевозки пассажиров</t>
  </si>
  <si>
    <t>Иные межбюджетные трансферты на приобретение материалов на ремонт и содержание уличного освещения</t>
  </si>
  <si>
    <t>Иные межбюджетные трансферты на приобретение контейнеров для сбора бытового мусора</t>
  </si>
  <si>
    <t>Иные межбюджетные трансферты на строительство и проведение ремонта объектов спортивной направленности</t>
  </si>
  <si>
    <t>Иные межбюджетные трансферты на выполнение работ по изготовлению проектно-сметной документации с инженерно-геологическими изысканиями</t>
  </si>
  <si>
    <t>Иные межбюджетные трансферты на проведение работ по ремонту и утеплению фасада жилого дома по ул. Коммунистическая 6/1</t>
  </si>
  <si>
    <t>Иные межбюджетные трансферты на благоустройство территории и изготовление торговых павильонов для проведения ярморок "Колпашевское городское поселение"</t>
  </si>
  <si>
    <t>Иные межбюджетные трансферты на компенсацию убытков организаций, эксплуатирующих коммунальные объекты, принятые в муниципальную собственность в связи с расформированием войсковой части в г. Колпашево</t>
  </si>
  <si>
    <t>Иные межбюджетные трансферты на подготовку генеральных планов, правил землепользования и застройки поселений и городских округов</t>
  </si>
  <si>
    <t>Расходы в соответствии с распоряжением АТО от 16.05.2011 № 414-ра) на проведение социологических исследований</t>
  </si>
  <si>
    <t>Распоряжение Админстрации Томской области от 31.01.2011 № 45-ра "О выделении бюджетных ассигнований бюджетам муниципальных образований Томской области"</t>
  </si>
  <si>
    <t>31.01.2011- 20.03.2011</t>
  </si>
  <si>
    <t>Распоряжение Админстрации Томской области от 16.05.2011 № 414-ра "О выделении бюджетных ассигнований бюджетам муниципальных образований Томской области"</t>
  </si>
  <si>
    <t>16.05.2011- 31.12.2011</t>
  </si>
  <si>
    <t>Постановление Администрации Колпашевского района от 02.06.2011 № 530 "О порядке расходования средств субсидии из резервного фонда финансирования непредвиденных расходов Администрации Томской области для проведения социологических исследований"</t>
  </si>
  <si>
    <t>02.06.2011 - 31.03.2011</t>
  </si>
  <si>
    <t>Реестр расходных обязательств муниципального образования "Колпашевский район" на 2011 г. и плановый период 2012-2013 года. (плановый)</t>
  </si>
  <si>
    <t>Дотации на поддержку мер по обеспечению сбалансированности бюджетов поселений</t>
  </si>
  <si>
    <t>Дотации на поддержку мер по обеспечению сбалансированности местных бюджетов</t>
  </si>
  <si>
    <t>гр.19</t>
  </si>
  <si>
    <t>2014 год</t>
  </si>
  <si>
    <t>финансовый год +3
(2014 год)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</si>
</sst>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</numFmts>
  <fonts count="62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b/>
      <sz val="14"/>
      <name val="Arial"/>
      <family val="2"/>
    </font>
    <font>
      <sz val="9"/>
      <name val="Arial Cyr"/>
      <family val="0"/>
    </font>
    <font>
      <sz val="9"/>
      <color indexed="8"/>
      <name val="Times New Roman CYR"/>
      <family val="1"/>
    </font>
    <font>
      <sz val="9"/>
      <color indexed="12"/>
      <name val="Times New Roman CYR"/>
      <family val="1"/>
    </font>
    <font>
      <sz val="9"/>
      <color indexed="10"/>
      <name val="Times New Roman CYR"/>
      <family val="1"/>
    </font>
    <font>
      <b/>
      <sz val="8"/>
      <name val="Times New Roman CYR"/>
      <family val="0"/>
    </font>
    <font>
      <sz val="9"/>
      <name val="Times New Roman"/>
      <family val="1"/>
    </font>
    <font>
      <b/>
      <sz val="6"/>
      <name val="Times New Roman CYR"/>
      <family val="1"/>
    </font>
    <font>
      <sz val="6"/>
      <name val="Times New Roman CYR"/>
      <family val="1"/>
    </font>
    <font>
      <sz val="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 CYR"/>
      <family val="0"/>
    </font>
    <font>
      <sz val="8"/>
      <color indexed="10"/>
      <name val="Times New Roman CYR"/>
      <family val="0"/>
    </font>
    <font>
      <b/>
      <sz val="8"/>
      <color indexed="10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 CYR"/>
      <family val="0"/>
    </font>
    <font>
      <sz val="8"/>
      <color rgb="FFFF0000"/>
      <name val="Times New Roman CYR"/>
      <family val="0"/>
    </font>
    <font>
      <b/>
      <sz val="8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53" applyFill="1">
      <alignment/>
      <protection/>
    </xf>
    <xf numFmtId="0" fontId="5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5" fillId="0" borderId="0" xfId="53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7" fillId="0" borderId="0" xfId="53" applyFont="1" applyFill="1">
      <alignment/>
      <protection/>
    </xf>
    <xf numFmtId="0" fontId="0" fillId="0" borderId="0" xfId="0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0" xfId="53" applyFont="1" applyFill="1">
      <alignment/>
      <protection/>
    </xf>
    <xf numFmtId="14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14" fillId="0" borderId="10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 locked="0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4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3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4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4" fontId="14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Font="1" applyFill="1" applyBorder="1" applyAlignment="1">
      <alignment horizontal="center"/>
    </xf>
    <xf numFmtId="0" fontId="16" fillId="0" borderId="12" xfId="53" applyNumberFormat="1" applyFont="1" applyFill="1" applyBorder="1" applyAlignment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wrapText="1"/>
      <protection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0" xfId="0" applyNumberFormat="1" applyFont="1" applyFill="1" applyBorder="1" applyAlignment="1" applyProtection="1">
      <alignment horizontal="right" vertical="center"/>
      <protection/>
    </xf>
    <xf numFmtId="164" fontId="8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4" fontId="5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2" xfId="0" applyNumberFormat="1" applyFont="1" applyFill="1" applyBorder="1" applyAlignment="1" applyProtection="1">
      <alignment vertical="center" wrapText="1" shrinkToFit="1"/>
      <protection locked="0"/>
    </xf>
    <xf numFmtId="164" fontId="8" fillId="0" borderId="12" xfId="0" applyNumberFormat="1" applyFont="1" applyFill="1" applyBorder="1" applyAlignment="1" applyProtection="1">
      <alignment horizontal="right" vertical="center"/>
      <protection/>
    </xf>
    <xf numFmtId="164" fontId="8" fillId="0" borderId="10" xfId="0" applyNumberFormat="1" applyFont="1" applyFill="1" applyBorder="1" applyAlignment="1" applyProtection="1">
      <alignment vertical="center"/>
      <protection/>
    </xf>
    <xf numFmtId="164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6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60" fillId="0" borderId="10" xfId="0" applyNumberFormat="1" applyFont="1" applyFill="1" applyBorder="1" applyAlignment="1" applyProtection="1">
      <alignment vertical="center"/>
      <protection/>
    </xf>
    <xf numFmtId="164" fontId="15" fillId="0" borderId="10" xfId="0" applyNumberFormat="1" applyFont="1" applyFill="1" applyBorder="1" applyAlignment="1" applyProtection="1">
      <alignment vertical="center"/>
      <protection/>
    </xf>
    <xf numFmtId="164" fontId="59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4" fontId="59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3" xfId="0" applyNumberFormat="1" applyFont="1" applyFill="1" applyBorder="1" applyAlignment="1" applyProtection="1">
      <alignment horizontal="right" vertical="center"/>
      <protection/>
    </xf>
    <xf numFmtId="164" fontId="8" fillId="0" borderId="12" xfId="0" applyNumberFormat="1" applyFont="1" applyFill="1" applyBorder="1" applyAlignment="1" applyProtection="1">
      <alignment vertical="center"/>
      <protection/>
    </xf>
    <xf numFmtId="164" fontId="8" fillId="0" borderId="13" xfId="0" applyNumberFormat="1" applyFont="1" applyFill="1" applyBorder="1" applyAlignment="1" applyProtection="1">
      <alignment vertical="center"/>
      <protection/>
    </xf>
    <xf numFmtId="164" fontId="5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6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61" fillId="0" borderId="10" xfId="0" applyNumberFormat="1" applyFont="1" applyFill="1" applyBorder="1" applyAlignment="1" applyProtection="1">
      <alignment vertical="center"/>
      <protection/>
    </xf>
    <xf numFmtId="164" fontId="8" fillId="0" borderId="10" xfId="0" applyNumberFormat="1" applyFont="1" applyFill="1" applyBorder="1" applyAlignment="1" applyProtection="1">
      <alignment vertical="center" wrapText="1" shrinkToFit="1"/>
      <protection locked="0"/>
    </xf>
    <xf numFmtId="164" fontId="8" fillId="0" borderId="10" xfId="53" applyNumberFormat="1" applyFont="1" applyFill="1" applyBorder="1" applyAlignment="1">
      <alignment horizontal="right" vertical="center"/>
      <protection/>
    </xf>
    <xf numFmtId="164" fontId="60" fillId="0" borderId="10" xfId="0" applyNumberFormat="1" applyFont="1" applyFill="1" applyBorder="1" applyAlignment="1" applyProtection="1">
      <alignment vertical="center" wrapText="1" shrinkToFit="1"/>
      <protection locked="0"/>
    </xf>
    <xf numFmtId="164" fontId="60" fillId="0" borderId="10" xfId="0" applyNumberFormat="1" applyFont="1" applyFill="1" applyBorder="1" applyAlignment="1" applyProtection="1">
      <alignment vertical="top"/>
      <protection/>
    </xf>
    <xf numFmtId="164" fontId="60" fillId="0" borderId="10" xfId="53" applyNumberFormat="1" applyFont="1" applyFill="1" applyBorder="1">
      <alignment/>
      <protection/>
    </xf>
    <xf numFmtId="164" fontId="60" fillId="0" borderId="10" xfId="53" applyNumberFormat="1" applyFont="1" applyFill="1" applyBorder="1" applyAlignment="1">
      <alignment vertical="center"/>
      <protection/>
    </xf>
    <xf numFmtId="164" fontId="8" fillId="0" borderId="14" xfId="0" applyNumberFormat="1" applyFont="1" applyFill="1" applyBorder="1" applyAlignment="1" applyProtection="1">
      <alignment vertical="center" wrapText="1" shrinkToFit="1"/>
      <protection locked="0"/>
    </xf>
    <xf numFmtId="164" fontId="6" fillId="0" borderId="10" xfId="0" applyNumberFormat="1" applyFont="1" applyFill="1" applyBorder="1" applyAlignment="1" applyProtection="1">
      <alignment vertical="center"/>
      <protection/>
    </xf>
    <xf numFmtId="164" fontId="8" fillId="0" borderId="10" xfId="0" applyNumberFormat="1" applyFont="1" applyFill="1" applyBorder="1" applyAlignment="1" applyProtection="1">
      <alignment horizontal="right" vertical="center"/>
      <protection/>
    </xf>
    <xf numFmtId="164" fontId="8" fillId="0" borderId="18" xfId="0" applyNumberFormat="1" applyFont="1" applyFill="1" applyBorder="1" applyAlignment="1" applyProtection="1">
      <alignment horizontal="right" vertical="center"/>
      <protection/>
    </xf>
    <xf numFmtId="164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0" xfId="0" applyNumberFormat="1" applyFont="1" applyFill="1" applyBorder="1" applyAlignment="1" applyProtection="1">
      <alignment horizontal="center" wrapText="1" shrinkToFit="1"/>
      <protection locked="0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164" fontId="8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16" xfId="0" applyNumberFormat="1" applyFont="1" applyFill="1" applyBorder="1" applyAlignment="1" applyProtection="1">
      <alignment horizontal="justify" vertical="center" wrapText="1" shrinkToFit="1"/>
      <protection locked="0"/>
    </xf>
    <xf numFmtId="0" fontId="16" fillId="0" borderId="14" xfId="0" applyNumberFormat="1" applyFont="1" applyFill="1" applyBorder="1" applyAlignment="1" applyProtection="1">
      <alignment horizontal="left" vertical="center" wrapText="1"/>
      <protection/>
    </xf>
    <xf numFmtId="14" fontId="1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3" xfId="0" applyNumberFormat="1" applyFont="1" applyFill="1" applyBorder="1" applyAlignment="1" applyProtection="1">
      <alignment vertical="center" wrapText="1" shrinkToFit="1"/>
      <protection locked="0"/>
    </xf>
    <xf numFmtId="164" fontId="8" fillId="0" borderId="12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horizontal="right" vertical="center"/>
      <protection/>
    </xf>
    <xf numFmtId="164" fontId="8" fillId="0" borderId="13" xfId="0" applyNumberFormat="1" applyFont="1" applyFill="1" applyBorder="1" applyAlignment="1" applyProtection="1">
      <alignment horizontal="right" vertical="center"/>
      <protection/>
    </xf>
    <xf numFmtId="164" fontId="8" fillId="0" borderId="12" xfId="0" applyNumberFormat="1" applyFont="1" applyFill="1" applyBorder="1" applyAlignment="1" applyProtection="1">
      <alignment horizontal="center" vertical="center"/>
      <protection/>
    </xf>
    <xf numFmtId="164" fontId="8" fillId="0" borderId="13" xfId="0" applyNumberFormat="1" applyFont="1" applyFill="1" applyBorder="1" applyAlignment="1" applyProtection="1">
      <alignment horizontal="center" vertical="center"/>
      <protection/>
    </xf>
    <xf numFmtId="164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4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164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14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1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Font="1" applyFill="1" applyBorder="1" applyAlignment="1">
      <alignment horizontal="center" vertical="center" wrapText="1" shrinkToFit="1"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164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6" fillId="0" borderId="12" xfId="0" applyNumberFormat="1" applyFont="1" applyFill="1" applyBorder="1" applyAlignment="1" applyProtection="1">
      <alignment horizontal="justify" vertical="center" wrapText="1" shrinkToFit="1"/>
      <protection locked="0"/>
    </xf>
    <xf numFmtId="0" fontId="16" fillId="0" borderId="13" xfId="0" applyNumberFormat="1" applyFont="1" applyFill="1" applyBorder="1" applyAlignment="1" applyProtection="1">
      <alignment horizontal="justify" vertical="center" wrapText="1" shrinkToFit="1"/>
      <protection locked="0"/>
    </xf>
    <xf numFmtId="0" fontId="0" fillId="0" borderId="13" xfId="0" applyFill="1" applyBorder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8"/>
  <sheetViews>
    <sheetView tabSelected="1" zoomScalePageLayoutView="0" workbookViewId="0" topLeftCell="A249">
      <selection activeCell="S251" sqref="S251"/>
    </sheetView>
  </sheetViews>
  <sheetFormatPr defaultColWidth="9.00390625" defaultRowHeight="12.75" outlineLevelRow="1" outlineLevelCol="1"/>
  <cols>
    <col min="1" max="1" width="3.75390625" style="10" customWidth="1"/>
    <col min="2" max="2" width="30.125" style="10" customWidth="1"/>
    <col min="3" max="3" width="0.12890625" style="10" customWidth="1"/>
    <col min="4" max="4" width="3.125" style="10" customWidth="1"/>
    <col min="5" max="5" width="21.875" style="10" customWidth="1"/>
    <col min="6" max="6" width="5.625" style="10" customWidth="1"/>
    <col min="7" max="7" width="9.25390625" style="10" customWidth="1"/>
    <col min="8" max="8" width="27.75390625" style="10" customWidth="1"/>
    <col min="9" max="9" width="5.625" style="10" customWidth="1"/>
    <col min="10" max="10" width="9.00390625" style="10" customWidth="1"/>
    <col min="11" max="11" width="40.00390625" style="10" customWidth="1"/>
    <col min="12" max="12" width="6.00390625" style="10" customWidth="1" outlineLevel="1"/>
    <col min="13" max="13" width="8.875" style="10" customWidth="1" outlineLevel="1"/>
    <col min="14" max="14" width="7.875" style="10" customWidth="1" outlineLevel="1"/>
    <col min="15" max="15" width="8.00390625" style="10" customWidth="1" outlineLevel="1"/>
    <col min="16" max="16" width="7.75390625" style="10" customWidth="1"/>
    <col min="17" max="17" width="7.625" style="10" customWidth="1"/>
    <col min="18" max="18" width="7.75390625" style="10" customWidth="1"/>
    <col min="19" max="19" width="7.875" style="10" customWidth="1"/>
    <col min="20" max="23" width="9.125" style="10" customWidth="1"/>
    <col min="24" max="28" width="9.125" style="1" customWidth="1"/>
    <col min="29" max="16384" width="9.125" style="1" customWidth="1"/>
  </cols>
  <sheetData>
    <row r="1" spans="1:18" ht="37.5" customHeight="1">
      <c r="A1" s="189" t="s">
        <v>1000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9" s="2" customFormat="1" ht="42" customHeight="1">
      <c r="A2" s="147" t="s">
        <v>362</v>
      </c>
      <c r="B2" s="147"/>
      <c r="C2" s="57"/>
      <c r="D2" s="147" t="s">
        <v>258</v>
      </c>
      <c r="E2" s="147" t="s">
        <v>439</v>
      </c>
      <c r="F2" s="147"/>
      <c r="G2" s="147"/>
      <c r="H2" s="147" t="s">
        <v>440</v>
      </c>
      <c r="I2" s="147"/>
      <c r="J2" s="147"/>
      <c r="K2" s="147" t="s">
        <v>230</v>
      </c>
      <c r="L2" s="147"/>
      <c r="M2" s="147"/>
      <c r="N2" s="147" t="s">
        <v>596</v>
      </c>
      <c r="O2" s="147"/>
      <c r="P2" s="147" t="s">
        <v>597</v>
      </c>
      <c r="Q2" s="147" t="s">
        <v>231</v>
      </c>
      <c r="R2" s="147"/>
      <c r="S2" s="147"/>
    </row>
    <row r="3" spans="1:19" s="2" customFormat="1" ht="92.25" customHeight="1">
      <c r="A3" s="147"/>
      <c r="B3" s="147"/>
      <c r="C3" s="57"/>
      <c r="D3" s="147"/>
      <c r="E3" s="19" t="s">
        <v>232</v>
      </c>
      <c r="F3" s="19" t="s">
        <v>400</v>
      </c>
      <c r="G3" s="19" t="s">
        <v>401</v>
      </c>
      <c r="H3" s="19" t="s">
        <v>232</v>
      </c>
      <c r="I3" s="19" t="s">
        <v>400</v>
      </c>
      <c r="J3" s="19" t="s">
        <v>401</v>
      </c>
      <c r="K3" s="19" t="s">
        <v>232</v>
      </c>
      <c r="L3" s="19" t="s">
        <v>400</v>
      </c>
      <c r="M3" s="19" t="s">
        <v>573</v>
      </c>
      <c r="N3" s="19" t="s">
        <v>402</v>
      </c>
      <c r="O3" s="19" t="s">
        <v>390</v>
      </c>
      <c r="P3" s="147"/>
      <c r="Q3" s="19" t="s">
        <v>503</v>
      </c>
      <c r="R3" s="19" t="s">
        <v>515</v>
      </c>
      <c r="S3" s="19" t="s">
        <v>1005</v>
      </c>
    </row>
    <row r="4" spans="1:19" s="2" customFormat="1" ht="12.75" customHeight="1">
      <c r="A4" s="19" t="s">
        <v>391</v>
      </c>
      <c r="B4" s="19"/>
      <c r="C4" s="19" t="s">
        <v>392</v>
      </c>
      <c r="D4" s="19" t="s">
        <v>179</v>
      </c>
      <c r="E4" s="19" t="s">
        <v>180</v>
      </c>
      <c r="F4" s="19" t="s">
        <v>181</v>
      </c>
      <c r="G4" s="19" t="s">
        <v>182</v>
      </c>
      <c r="H4" s="19" t="s">
        <v>183</v>
      </c>
      <c r="I4" s="19" t="s">
        <v>184</v>
      </c>
      <c r="J4" s="19" t="s">
        <v>185</v>
      </c>
      <c r="K4" s="19" t="s">
        <v>186</v>
      </c>
      <c r="L4" s="19" t="s">
        <v>187</v>
      </c>
      <c r="M4" s="19" t="s">
        <v>188</v>
      </c>
      <c r="N4" s="19" t="s">
        <v>149</v>
      </c>
      <c r="O4" s="19" t="s">
        <v>150</v>
      </c>
      <c r="P4" s="19" t="s">
        <v>151</v>
      </c>
      <c r="Q4" s="19" t="s">
        <v>88</v>
      </c>
      <c r="R4" s="58" t="s">
        <v>574</v>
      </c>
      <c r="S4" s="58" t="s">
        <v>1003</v>
      </c>
    </row>
    <row r="5" spans="1:19" s="2" customFormat="1" ht="24" customHeight="1">
      <c r="A5" s="80" t="s">
        <v>483</v>
      </c>
      <c r="B5" s="23" t="s">
        <v>484</v>
      </c>
      <c r="C5" s="21"/>
      <c r="D5" s="86"/>
      <c r="E5" s="38"/>
      <c r="F5" s="37"/>
      <c r="G5" s="37"/>
      <c r="H5" s="37"/>
      <c r="I5" s="37"/>
      <c r="J5" s="37"/>
      <c r="K5" s="8"/>
      <c r="L5" s="37"/>
      <c r="M5" s="37"/>
      <c r="N5" s="39"/>
      <c r="O5" s="39"/>
      <c r="P5" s="39"/>
      <c r="Q5" s="39"/>
      <c r="R5" s="24"/>
      <c r="S5" s="24"/>
    </row>
    <row r="6" spans="1:19" s="2" customFormat="1" ht="29.25" customHeight="1">
      <c r="A6" s="80" t="s">
        <v>10</v>
      </c>
      <c r="B6" s="23" t="s">
        <v>512</v>
      </c>
      <c r="C6" s="21"/>
      <c r="D6" s="87"/>
      <c r="E6" s="38"/>
      <c r="F6" s="37"/>
      <c r="G6" s="37"/>
      <c r="H6" s="37"/>
      <c r="I6" s="37"/>
      <c r="J6" s="37"/>
      <c r="K6" s="8"/>
      <c r="L6" s="37"/>
      <c r="M6" s="37"/>
      <c r="N6" s="95">
        <f aca="true" t="shared" si="0" ref="N6:S6">N7+N21+N25+N28+N29+N33+N36+N42+N45+N51+N66+N103+N129+N136+N140+N144+N148+N156+N161+N165</f>
        <v>428622.7623000001</v>
      </c>
      <c r="O6" s="95">
        <f t="shared" si="0"/>
        <v>424638.0001</v>
      </c>
      <c r="P6" s="95">
        <f t="shared" si="0"/>
        <v>444248.583</v>
      </c>
      <c r="Q6" s="95">
        <f t="shared" si="0"/>
        <v>447984.78298</v>
      </c>
      <c r="R6" s="95">
        <f t="shared" si="0"/>
        <v>472348.22867581993</v>
      </c>
      <c r="S6" s="95">
        <f t="shared" si="0"/>
        <v>490114.72016696265</v>
      </c>
    </row>
    <row r="7" spans="1:19" s="2" customFormat="1" ht="27" customHeight="1">
      <c r="A7" s="80" t="s">
        <v>75</v>
      </c>
      <c r="B7" s="23" t="s">
        <v>403</v>
      </c>
      <c r="C7" s="21"/>
      <c r="D7" s="87"/>
      <c r="E7" s="38"/>
      <c r="F7" s="38"/>
      <c r="G7" s="37"/>
      <c r="H7" s="37"/>
      <c r="I7" s="37"/>
      <c r="J7" s="37"/>
      <c r="K7" s="8"/>
      <c r="L7" s="37"/>
      <c r="M7" s="37"/>
      <c r="N7" s="95">
        <f aca="true" t="shared" si="1" ref="N7:S7">SUM(N8:N20)</f>
        <v>52780.553100000005</v>
      </c>
      <c r="O7" s="95">
        <f t="shared" si="1"/>
        <v>51659.07534</v>
      </c>
      <c r="P7" s="95">
        <f t="shared" si="1"/>
        <v>62810.636660000004</v>
      </c>
      <c r="Q7" s="95">
        <f t="shared" si="1"/>
        <v>65483.6</v>
      </c>
      <c r="R7" s="95">
        <f t="shared" si="1"/>
        <v>66224.8</v>
      </c>
      <c r="S7" s="95">
        <f t="shared" si="1"/>
        <v>66916.8</v>
      </c>
    </row>
    <row r="8" spans="1:19" s="3" customFormat="1" ht="61.5" customHeight="1">
      <c r="A8" s="81"/>
      <c r="B8" s="12" t="s">
        <v>505</v>
      </c>
      <c r="C8" s="13"/>
      <c r="D8" s="88" t="s">
        <v>506</v>
      </c>
      <c r="E8" s="8" t="s">
        <v>81</v>
      </c>
      <c r="F8" s="8" t="s">
        <v>28</v>
      </c>
      <c r="G8" s="11" t="s">
        <v>344</v>
      </c>
      <c r="H8" s="8"/>
      <c r="I8" s="8"/>
      <c r="J8" s="8"/>
      <c r="K8" s="8" t="s">
        <v>104</v>
      </c>
      <c r="L8" s="8"/>
      <c r="M8" s="8"/>
      <c r="N8" s="96">
        <f>(1423000+154000)/1000</f>
        <v>1577</v>
      </c>
      <c r="O8" s="96">
        <f>(1422601.27+131616.75)/1000</f>
        <v>1554.21802</v>
      </c>
      <c r="P8" s="96">
        <f>(191000+1573200)/1000</f>
        <v>1764.2</v>
      </c>
      <c r="Q8" s="96">
        <v>1816.9</v>
      </c>
      <c r="R8" s="97">
        <v>1829.5</v>
      </c>
      <c r="S8" s="97">
        <v>1841.2</v>
      </c>
    </row>
    <row r="9" spans="1:19" s="3" customFormat="1" ht="30" customHeight="1">
      <c r="A9" s="154"/>
      <c r="B9" s="173" t="s">
        <v>345</v>
      </c>
      <c r="C9" s="13"/>
      <c r="D9" s="89" t="s">
        <v>211</v>
      </c>
      <c r="E9" s="150" t="s">
        <v>81</v>
      </c>
      <c r="F9" s="150" t="s">
        <v>28</v>
      </c>
      <c r="G9" s="163" t="s">
        <v>344</v>
      </c>
      <c r="H9" s="150" t="s">
        <v>437</v>
      </c>
      <c r="I9" s="150" t="s">
        <v>432</v>
      </c>
      <c r="J9" s="150" t="s">
        <v>213</v>
      </c>
      <c r="K9" s="166" t="s">
        <v>137</v>
      </c>
      <c r="L9" s="166" t="s">
        <v>62</v>
      </c>
      <c r="M9" s="166" t="s">
        <v>63</v>
      </c>
      <c r="N9" s="98">
        <f>(1566000+30223.11)/1000</f>
        <v>1596.2231100000001</v>
      </c>
      <c r="O9" s="98">
        <f>(1565910.53+30223.11)/1000</f>
        <v>1596.1336400000002</v>
      </c>
      <c r="P9" s="98">
        <v>1709.7</v>
      </c>
      <c r="Q9" s="144">
        <f>42120.8-56.2-Q15</f>
        <v>41860.00000000001</v>
      </c>
      <c r="R9" s="144">
        <f>42120.8-56.2-R15</f>
        <v>41847.90000000001</v>
      </c>
      <c r="S9" s="144">
        <f>42120.8-56.2-S15</f>
        <v>41836.700000000004</v>
      </c>
    </row>
    <row r="10" spans="1:19" s="3" customFormat="1" ht="30" customHeight="1">
      <c r="A10" s="167"/>
      <c r="B10" s="173"/>
      <c r="C10" s="13"/>
      <c r="D10" s="90" t="s">
        <v>346</v>
      </c>
      <c r="E10" s="160"/>
      <c r="F10" s="160"/>
      <c r="G10" s="164"/>
      <c r="H10" s="160"/>
      <c r="I10" s="160"/>
      <c r="J10" s="160"/>
      <c r="K10" s="166"/>
      <c r="L10" s="166"/>
      <c r="M10" s="166"/>
      <c r="N10" s="99">
        <f>(32894653.9+425721.89)/1000</f>
        <v>33320.37579</v>
      </c>
      <c r="O10" s="99">
        <f>(32850254.23+425721.89)/1000</f>
        <v>33275.97612</v>
      </c>
      <c r="P10" s="99">
        <f>38527.8</f>
        <v>38527.8</v>
      </c>
      <c r="Q10" s="145"/>
      <c r="R10" s="145"/>
      <c r="S10" s="145"/>
    </row>
    <row r="11" spans="1:19" s="3" customFormat="1" ht="61.5" customHeight="1">
      <c r="A11" s="167"/>
      <c r="B11" s="173"/>
      <c r="C11" s="13"/>
      <c r="D11" s="90" t="s">
        <v>338</v>
      </c>
      <c r="E11" s="51" t="s">
        <v>438</v>
      </c>
      <c r="F11" s="51" t="s">
        <v>767</v>
      </c>
      <c r="G11" s="52" t="s">
        <v>79</v>
      </c>
      <c r="H11" s="51" t="s">
        <v>289</v>
      </c>
      <c r="I11" s="51" t="s">
        <v>768</v>
      </c>
      <c r="J11" s="51" t="s">
        <v>213</v>
      </c>
      <c r="K11" s="166"/>
      <c r="L11" s="166"/>
      <c r="M11" s="166"/>
      <c r="N11" s="99">
        <f>1251547.55/1000</f>
        <v>1251.54755</v>
      </c>
      <c r="O11" s="99">
        <f>1251547.55/1000</f>
        <v>1251.54755</v>
      </c>
      <c r="P11" s="99"/>
      <c r="Q11" s="145"/>
      <c r="R11" s="145"/>
      <c r="S11" s="145"/>
    </row>
    <row r="12" spans="1:19" s="3" customFormat="1" ht="36" customHeight="1">
      <c r="A12" s="81"/>
      <c r="B12" s="12" t="s">
        <v>374</v>
      </c>
      <c r="C12" s="13"/>
      <c r="D12" s="88" t="s">
        <v>346</v>
      </c>
      <c r="E12" s="8"/>
      <c r="F12" s="8"/>
      <c r="G12" s="11"/>
      <c r="H12" s="8"/>
      <c r="I12" s="8"/>
      <c r="J12" s="8"/>
      <c r="K12" s="8" t="s">
        <v>206</v>
      </c>
      <c r="L12" s="8"/>
      <c r="M12" s="8"/>
      <c r="N12" s="96">
        <v>0</v>
      </c>
      <c r="O12" s="96">
        <v>0</v>
      </c>
      <c r="P12" s="96">
        <f>53000/1000</f>
        <v>53</v>
      </c>
      <c r="Q12" s="96">
        <v>56.2</v>
      </c>
      <c r="R12" s="97">
        <v>59.5</v>
      </c>
      <c r="S12" s="97">
        <v>62.6</v>
      </c>
    </row>
    <row r="13" spans="1:19" s="3" customFormat="1" ht="50.25" customHeight="1">
      <c r="A13" s="81"/>
      <c r="B13" s="12" t="s">
        <v>342</v>
      </c>
      <c r="C13" s="13"/>
      <c r="D13" s="89" t="s">
        <v>338</v>
      </c>
      <c r="E13" s="150" t="s">
        <v>81</v>
      </c>
      <c r="F13" s="150" t="s">
        <v>28</v>
      </c>
      <c r="G13" s="163" t="s">
        <v>344</v>
      </c>
      <c r="H13" s="150" t="s">
        <v>770</v>
      </c>
      <c r="I13" s="150" t="s">
        <v>511</v>
      </c>
      <c r="J13" s="150" t="s">
        <v>771</v>
      </c>
      <c r="K13" s="150" t="s">
        <v>698</v>
      </c>
      <c r="L13" s="150" t="s">
        <v>699</v>
      </c>
      <c r="M13" s="150" t="s">
        <v>569</v>
      </c>
      <c r="N13" s="96">
        <f>1236297/1000</f>
        <v>1236.297</v>
      </c>
      <c r="O13" s="96">
        <f>1236297/1000</f>
        <v>1236.297</v>
      </c>
      <c r="P13" s="100">
        <v>0</v>
      </c>
      <c r="Q13" s="96">
        <v>0</v>
      </c>
      <c r="R13" s="97">
        <v>0</v>
      </c>
      <c r="S13" s="97">
        <v>0</v>
      </c>
    </row>
    <row r="14" spans="1:19" s="3" customFormat="1" ht="50.25" customHeight="1">
      <c r="A14" s="81"/>
      <c r="B14" s="12" t="s">
        <v>568</v>
      </c>
      <c r="C14" s="13"/>
      <c r="D14" s="89" t="s">
        <v>338</v>
      </c>
      <c r="E14" s="160"/>
      <c r="F14" s="160"/>
      <c r="G14" s="164"/>
      <c r="H14" s="151"/>
      <c r="I14" s="151"/>
      <c r="J14" s="151"/>
      <c r="K14" s="151"/>
      <c r="L14" s="151"/>
      <c r="M14" s="151"/>
      <c r="N14" s="96">
        <f>940303/1000</f>
        <v>940.303</v>
      </c>
      <c r="O14" s="96">
        <f>940303/1000</f>
        <v>940.303</v>
      </c>
      <c r="P14" s="100">
        <v>0</v>
      </c>
      <c r="Q14" s="96">
        <v>0</v>
      </c>
      <c r="R14" s="97">
        <v>0</v>
      </c>
      <c r="S14" s="97">
        <v>0</v>
      </c>
    </row>
    <row r="15" spans="1:19" s="3" customFormat="1" ht="72.75" customHeight="1">
      <c r="A15" s="81"/>
      <c r="B15" s="12" t="s">
        <v>204</v>
      </c>
      <c r="C15" s="13"/>
      <c r="D15" s="88" t="s">
        <v>346</v>
      </c>
      <c r="E15" s="8" t="s">
        <v>81</v>
      </c>
      <c r="F15" s="8" t="s">
        <v>28</v>
      </c>
      <c r="G15" s="11" t="s">
        <v>344</v>
      </c>
      <c r="H15" s="8" t="s">
        <v>437</v>
      </c>
      <c r="I15" s="8" t="s">
        <v>360</v>
      </c>
      <c r="J15" s="8" t="s">
        <v>80</v>
      </c>
      <c r="K15" s="8" t="s">
        <v>193</v>
      </c>
      <c r="L15" s="8" t="s">
        <v>194</v>
      </c>
      <c r="M15" s="8" t="s">
        <v>80</v>
      </c>
      <c r="N15" s="96">
        <f>181834/1000</f>
        <v>181.834</v>
      </c>
      <c r="O15" s="96">
        <f>176836/1000</f>
        <v>176.836</v>
      </c>
      <c r="P15" s="96">
        <f>193000/1000</f>
        <v>193</v>
      </c>
      <c r="Q15" s="96">
        <v>204.6</v>
      </c>
      <c r="R15" s="97">
        <v>216.7</v>
      </c>
      <c r="S15" s="97">
        <v>227.9</v>
      </c>
    </row>
    <row r="16" spans="1:19" s="3" customFormat="1" ht="60.75" customHeight="1">
      <c r="A16" s="81"/>
      <c r="B16" s="12" t="s">
        <v>13</v>
      </c>
      <c r="C16" s="13"/>
      <c r="D16" s="88" t="s">
        <v>522</v>
      </c>
      <c r="E16" s="8" t="s">
        <v>81</v>
      </c>
      <c r="F16" s="8" t="s">
        <v>28</v>
      </c>
      <c r="G16" s="11" t="s">
        <v>344</v>
      </c>
      <c r="H16" s="8"/>
      <c r="I16" s="8"/>
      <c r="J16" s="8"/>
      <c r="K16" s="8" t="s">
        <v>40</v>
      </c>
      <c r="L16" s="8" t="s">
        <v>347</v>
      </c>
      <c r="M16" s="8" t="s">
        <v>163</v>
      </c>
      <c r="N16" s="96">
        <f>133280/1000</f>
        <v>133.28</v>
      </c>
      <c r="O16" s="96">
        <f>133280/1000</f>
        <v>133.28</v>
      </c>
      <c r="P16" s="96">
        <f>151000/1000</f>
        <v>151</v>
      </c>
      <c r="Q16" s="96">
        <v>160.1</v>
      </c>
      <c r="R16" s="97">
        <v>169.5</v>
      </c>
      <c r="S16" s="97">
        <v>178.3</v>
      </c>
    </row>
    <row r="17" spans="1:19" s="3" customFormat="1" ht="99" customHeight="1">
      <c r="A17" s="83"/>
      <c r="B17" s="53" t="s">
        <v>501</v>
      </c>
      <c r="C17" s="53"/>
      <c r="D17" s="89" t="s">
        <v>16</v>
      </c>
      <c r="E17" s="8" t="s">
        <v>131</v>
      </c>
      <c r="F17" s="8" t="s">
        <v>133</v>
      </c>
      <c r="G17" s="8" t="s">
        <v>772</v>
      </c>
      <c r="H17" s="8" t="s">
        <v>437</v>
      </c>
      <c r="I17" s="8" t="s">
        <v>360</v>
      </c>
      <c r="J17" s="8" t="s">
        <v>80</v>
      </c>
      <c r="K17" s="49" t="s">
        <v>544</v>
      </c>
      <c r="L17" s="56" t="s">
        <v>355</v>
      </c>
      <c r="M17" s="56" t="s">
        <v>356</v>
      </c>
      <c r="N17" s="98">
        <f>(11430694.99+66270)/1000</f>
        <v>11496.96499</v>
      </c>
      <c r="O17" s="98">
        <f>(11428214.01+66270)/1000</f>
        <v>11494.48401</v>
      </c>
      <c r="P17" s="98">
        <f>12514900/1000</f>
        <v>12514.9</v>
      </c>
      <c r="Q17" s="101">
        <v>13015</v>
      </c>
      <c r="R17" s="102">
        <v>13237</v>
      </c>
      <c r="S17" s="102">
        <v>13444.4</v>
      </c>
    </row>
    <row r="18" spans="1:19" s="3" customFormat="1" ht="66" customHeight="1">
      <c r="A18" s="81"/>
      <c r="B18" s="12" t="s">
        <v>490</v>
      </c>
      <c r="C18" s="13"/>
      <c r="D18" s="88" t="s">
        <v>523</v>
      </c>
      <c r="E18" s="8" t="s">
        <v>81</v>
      </c>
      <c r="F18" s="8" t="s">
        <v>28</v>
      </c>
      <c r="G18" s="11" t="s">
        <v>82</v>
      </c>
      <c r="H18" s="8"/>
      <c r="I18" s="8"/>
      <c r="J18" s="8"/>
      <c r="K18" s="8" t="s">
        <v>18</v>
      </c>
      <c r="L18" s="8" t="s">
        <v>64</v>
      </c>
      <c r="M18" s="8" t="s">
        <v>65</v>
      </c>
      <c r="N18" s="96">
        <f>782470.93/1000</f>
        <v>782.4709300000001</v>
      </c>
      <c r="O18" s="96">
        <v>0</v>
      </c>
      <c r="P18" s="96">
        <f>4138770.76/1000</f>
        <v>4138.770759999999</v>
      </c>
      <c r="Q18" s="96">
        <v>4387.1</v>
      </c>
      <c r="R18" s="97">
        <v>4645.9</v>
      </c>
      <c r="S18" s="97">
        <v>4887.5</v>
      </c>
    </row>
    <row r="19" spans="1:19" s="3" customFormat="1" ht="74.25" customHeight="1">
      <c r="A19" s="174"/>
      <c r="B19" s="173" t="s">
        <v>39</v>
      </c>
      <c r="C19" s="179"/>
      <c r="D19" s="177" t="s">
        <v>522</v>
      </c>
      <c r="E19" s="49" t="s">
        <v>409</v>
      </c>
      <c r="F19" s="49" t="s">
        <v>410</v>
      </c>
      <c r="G19" s="49" t="s">
        <v>412</v>
      </c>
      <c r="H19" s="166" t="s">
        <v>463</v>
      </c>
      <c r="I19" s="166" t="s">
        <v>196</v>
      </c>
      <c r="J19" s="166" t="s">
        <v>340</v>
      </c>
      <c r="K19" s="166" t="s">
        <v>570</v>
      </c>
      <c r="L19" s="166" t="s">
        <v>408</v>
      </c>
      <c r="M19" s="166" t="s">
        <v>80</v>
      </c>
      <c r="N19" s="188">
        <f>264256.73/1000</f>
        <v>264.25673</v>
      </c>
      <c r="O19" s="188">
        <v>0</v>
      </c>
      <c r="P19" s="188">
        <f>3758265.9/1000</f>
        <v>3758.2659</v>
      </c>
      <c r="Q19" s="188">
        <v>3983.7</v>
      </c>
      <c r="R19" s="146">
        <v>4218.8</v>
      </c>
      <c r="S19" s="146">
        <v>4438.2</v>
      </c>
    </row>
    <row r="20" spans="1:19" s="3" customFormat="1" ht="148.5" customHeight="1">
      <c r="A20" s="174"/>
      <c r="B20" s="173"/>
      <c r="C20" s="179"/>
      <c r="D20" s="177"/>
      <c r="E20" s="51" t="s">
        <v>91</v>
      </c>
      <c r="F20" s="51" t="s">
        <v>411</v>
      </c>
      <c r="G20" s="51" t="s">
        <v>195</v>
      </c>
      <c r="H20" s="166"/>
      <c r="I20" s="166"/>
      <c r="J20" s="166"/>
      <c r="K20" s="166"/>
      <c r="L20" s="166"/>
      <c r="M20" s="166"/>
      <c r="N20" s="188"/>
      <c r="O20" s="188"/>
      <c r="P20" s="188"/>
      <c r="Q20" s="188"/>
      <c r="R20" s="146"/>
      <c r="S20" s="146"/>
    </row>
    <row r="21" spans="1:19" s="2" customFormat="1" ht="24">
      <c r="A21" s="80" t="s">
        <v>212</v>
      </c>
      <c r="B21" s="40" t="s">
        <v>406</v>
      </c>
      <c r="C21" s="21"/>
      <c r="D21" s="88"/>
      <c r="E21" s="8"/>
      <c r="F21" s="8"/>
      <c r="G21" s="8"/>
      <c r="H21" s="8"/>
      <c r="I21" s="8"/>
      <c r="J21" s="8"/>
      <c r="K21" s="8"/>
      <c r="L21" s="8"/>
      <c r="M21" s="8"/>
      <c r="N21" s="95">
        <f aca="true" t="shared" si="2" ref="N21:S21">SUM(N22:N23)</f>
        <v>5360.13822</v>
      </c>
      <c r="O21" s="95">
        <f t="shared" si="2"/>
        <v>5360.13822</v>
      </c>
      <c r="P21" s="95">
        <f t="shared" si="2"/>
        <v>6275.1</v>
      </c>
      <c r="Q21" s="95">
        <f t="shared" si="2"/>
        <v>6795.7</v>
      </c>
      <c r="R21" s="95">
        <f t="shared" si="2"/>
        <v>7196.7</v>
      </c>
      <c r="S21" s="95">
        <f t="shared" si="2"/>
        <v>7572</v>
      </c>
    </row>
    <row r="22" spans="1:19" s="3" customFormat="1" ht="69" customHeight="1">
      <c r="A22" s="80"/>
      <c r="B22" s="14" t="s">
        <v>192</v>
      </c>
      <c r="C22" s="21"/>
      <c r="D22" s="88" t="s">
        <v>522</v>
      </c>
      <c r="E22" s="8" t="s">
        <v>81</v>
      </c>
      <c r="F22" s="8" t="s">
        <v>214</v>
      </c>
      <c r="G22" s="8" t="s">
        <v>82</v>
      </c>
      <c r="H22" s="8" t="s">
        <v>437</v>
      </c>
      <c r="I22" s="8" t="s">
        <v>360</v>
      </c>
      <c r="J22" s="8" t="s">
        <v>80</v>
      </c>
      <c r="K22" s="8" t="s">
        <v>66</v>
      </c>
      <c r="L22" s="8" t="s">
        <v>347</v>
      </c>
      <c r="M22" s="8" t="s">
        <v>413</v>
      </c>
      <c r="N22" s="96">
        <f>(2244730+2833270+238400)/1000</f>
        <v>5316.4</v>
      </c>
      <c r="O22" s="96">
        <f>(2244730+2833270+238400)/1000</f>
        <v>5316.4</v>
      </c>
      <c r="P22" s="96">
        <f>(2775100+3500000)/1000</f>
        <v>6275.1</v>
      </c>
      <c r="Q22" s="104">
        <v>6795.7</v>
      </c>
      <c r="R22" s="103">
        <v>7196.7</v>
      </c>
      <c r="S22" s="103">
        <v>7571</v>
      </c>
    </row>
    <row r="23" spans="1:19" s="3" customFormat="1" ht="66.75" customHeight="1">
      <c r="A23" s="80"/>
      <c r="B23" s="14" t="s">
        <v>71</v>
      </c>
      <c r="C23" s="21"/>
      <c r="D23" s="88" t="s">
        <v>338</v>
      </c>
      <c r="E23" s="20"/>
      <c r="F23" s="8"/>
      <c r="G23" s="11"/>
      <c r="H23" s="8"/>
      <c r="I23" s="8"/>
      <c r="J23" s="8"/>
      <c r="K23" s="8" t="s">
        <v>324</v>
      </c>
      <c r="L23" s="8" t="s">
        <v>431</v>
      </c>
      <c r="M23" s="8" t="s">
        <v>325</v>
      </c>
      <c r="N23" s="96">
        <f>(28345.44+15392.78)/1000</f>
        <v>43.73822</v>
      </c>
      <c r="O23" s="96">
        <f>(28345.44+15392.78)/1000</f>
        <v>43.73822</v>
      </c>
      <c r="P23" s="96">
        <v>0</v>
      </c>
      <c r="Q23" s="104">
        <v>0</v>
      </c>
      <c r="R23" s="103">
        <v>0</v>
      </c>
      <c r="S23" s="103">
        <v>1</v>
      </c>
    </row>
    <row r="24" spans="1:19" s="2" customFormat="1" ht="36.75" customHeight="1">
      <c r="A24" s="80" t="s">
        <v>470</v>
      </c>
      <c r="B24" s="23" t="s">
        <v>110</v>
      </c>
      <c r="C24" s="21"/>
      <c r="D24" s="88"/>
      <c r="E24" s="8"/>
      <c r="F24" s="8"/>
      <c r="G24" s="8"/>
      <c r="H24" s="8"/>
      <c r="I24" s="8"/>
      <c r="J24" s="8"/>
      <c r="K24" s="8"/>
      <c r="L24" s="8"/>
      <c r="M24" s="8"/>
      <c r="N24" s="96"/>
      <c r="O24" s="96"/>
      <c r="P24" s="96"/>
      <c r="Q24" s="105"/>
      <c r="R24" s="106"/>
      <c r="S24" s="106"/>
    </row>
    <row r="25" spans="1:19" s="2" customFormat="1" ht="84.75" customHeight="1">
      <c r="A25" s="80" t="s">
        <v>175</v>
      </c>
      <c r="B25" s="23" t="s">
        <v>259</v>
      </c>
      <c r="C25" s="21"/>
      <c r="D25" s="91" t="s">
        <v>247</v>
      </c>
      <c r="E25" s="41" t="s">
        <v>290</v>
      </c>
      <c r="F25" s="41" t="s">
        <v>291</v>
      </c>
      <c r="G25" s="41" t="s">
        <v>904</v>
      </c>
      <c r="H25" s="41" t="s">
        <v>121</v>
      </c>
      <c r="I25" s="41" t="s">
        <v>122</v>
      </c>
      <c r="J25" s="41" t="s">
        <v>123</v>
      </c>
      <c r="K25" s="41" t="s">
        <v>111</v>
      </c>
      <c r="L25" s="41" t="s">
        <v>347</v>
      </c>
      <c r="M25" s="41" t="s">
        <v>213</v>
      </c>
      <c r="N25" s="95">
        <f>1813442.9/1000</f>
        <v>1813.4429</v>
      </c>
      <c r="O25" s="95">
        <f>1795900/1000</f>
        <v>1795.9</v>
      </c>
      <c r="P25" s="95">
        <v>0</v>
      </c>
      <c r="Q25" s="95">
        <v>0</v>
      </c>
      <c r="R25" s="95">
        <f>2055300/1000</f>
        <v>2055.3</v>
      </c>
      <c r="S25" s="95">
        <v>0</v>
      </c>
    </row>
    <row r="26" spans="1:19" s="6" customFormat="1" ht="34.5" customHeight="1">
      <c r="A26" s="80" t="s">
        <v>323</v>
      </c>
      <c r="B26" s="23" t="s">
        <v>471</v>
      </c>
      <c r="C26" s="21"/>
      <c r="D26" s="91"/>
      <c r="E26" s="41"/>
      <c r="F26" s="41"/>
      <c r="G26" s="41"/>
      <c r="H26" s="41"/>
      <c r="I26" s="41"/>
      <c r="J26" s="41"/>
      <c r="K26" s="41"/>
      <c r="L26" s="41"/>
      <c r="M26" s="41"/>
      <c r="N26" s="95"/>
      <c r="O26" s="95"/>
      <c r="P26" s="95"/>
      <c r="Q26" s="95"/>
      <c r="R26" s="95"/>
      <c r="S26" s="95"/>
    </row>
    <row r="27" spans="1:19" s="2" customFormat="1" ht="36.75" customHeight="1">
      <c r="A27" s="80" t="s">
        <v>57</v>
      </c>
      <c r="B27" s="23" t="s">
        <v>219</v>
      </c>
      <c r="C27" s="21"/>
      <c r="D27" s="88"/>
      <c r="E27" s="8"/>
      <c r="F27" s="8"/>
      <c r="G27" s="8"/>
      <c r="H27" s="8"/>
      <c r="I27" s="8"/>
      <c r="J27" s="8"/>
      <c r="K27" s="8"/>
      <c r="L27" s="8"/>
      <c r="M27" s="8"/>
      <c r="N27" s="96"/>
      <c r="O27" s="96"/>
      <c r="P27" s="96"/>
      <c r="Q27" s="105"/>
      <c r="R27" s="106"/>
      <c r="S27" s="106"/>
    </row>
    <row r="28" spans="1:19" s="6" customFormat="1" ht="97.5" customHeight="1">
      <c r="A28" s="80" t="s">
        <v>86</v>
      </c>
      <c r="B28" s="23" t="s">
        <v>370</v>
      </c>
      <c r="C28" s="21"/>
      <c r="D28" s="91" t="s">
        <v>346</v>
      </c>
      <c r="E28" s="41" t="s">
        <v>81</v>
      </c>
      <c r="F28" s="41" t="s">
        <v>28</v>
      </c>
      <c r="G28" s="41" t="s">
        <v>82</v>
      </c>
      <c r="H28" s="41"/>
      <c r="I28" s="41"/>
      <c r="J28" s="41"/>
      <c r="K28" s="41" t="s">
        <v>138</v>
      </c>
      <c r="L28" s="41" t="s">
        <v>273</v>
      </c>
      <c r="M28" s="42" t="s">
        <v>80</v>
      </c>
      <c r="N28" s="95">
        <f>522155/1000</f>
        <v>522.155</v>
      </c>
      <c r="O28" s="95">
        <f>499980/1000</f>
        <v>499.98</v>
      </c>
      <c r="P28" s="95">
        <f>734000/1000</f>
        <v>734</v>
      </c>
      <c r="Q28" s="95">
        <v>778</v>
      </c>
      <c r="R28" s="107">
        <v>823.9</v>
      </c>
      <c r="S28" s="107">
        <v>866.8</v>
      </c>
    </row>
    <row r="29" spans="1:19" s="2" customFormat="1" ht="51.75" customHeight="1">
      <c r="A29" s="80" t="s">
        <v>92</v>
      </c>
      <c r="B29" s="23" t="s">
        <v>67</v>
      </c>
      <c r="C29" s="21"/>
      <c r="D29" s="88"/>
      <c r="E29" s="8"/>
      <c r="F29" s="8"/>
      <c r="G29" s="8"/>
      <c r="H29" s="8"/>
      <c r="I29" s="8"/>
      <c r="J29" s="8"/>
      <c r="K29" s="8"/>
      <c r="L29" s="8"/>
      <c r="M29" s="8"/>
      <c r="N29" s="95">
        <f aca="true" t="shared" si="3" ref="N29:S29">SUM(N30:N31)</f>
        <v>13322.595</v>
      </c>
      <c r="O29" s="95">
        <f t="shared" si="3"/>
        <v>13318.31665</v>
      </c>
      <c r="P29" s="95">
        <f t="shared" si="3"/>
        <v>14475.648</v>
      </c>
      <c r="Q29" s="95">
        <f t="shared" si="3"/>
        <v>14994</v>
      </c>
      <c r="R29" s="95">
        <f t="shared" si="3"/>
        <v>15234.9</v>
      </c>
      <c r="S29" s="95">
        <f t="shared" si="3"/>
        <v>15459.9</v>
      </c>
    </row>
    <row r="30" spans="1:19" s="3" customFormat="1" ht="63" customHeight="1">
      <c r="A30" s="81"/>
      <c r="B30" s="12" t="s">
        <v>488</v>
      </c>
      <c r="C30" s="13"/>
      <c r="D30" s="88" t="s">
        <v>489</v>
      </c>
      <c r="E30" s="8" t="s">
        <v>81</v>
      </c>
      <c r="F30" s="8" t="s">
        <v>165</v>
      </c>
      <c r="G30" s="8" t="s">
        <v>82</v>
      </c>
      <c r="H30" s="8" t="s">
        <v>437</v>
      </c>
      <c r="I30" s="8" t="s">
        <v>360</v>
      </c>
      <c r="J30" s="8" t="s">
        <v>80</v>
      </c>
      <c r="K30" s="8" t="s">
        <v>158</v>
      </c>
      <c r="L30" s="8" t="s">
        <v>199</v>
      </c>
      <c r="M30" s="8" t="s">
        <v>80</v>
      </c>
      <c r="N30" s="96">
        <f>(11977910+584385)/1000</f>
        <v>12562.295</v>
      </c>
      <c r="O30" s="96">
        <f>(11973659.14+584385)/1000</f>
        <v>12558.04414</v>
      </c>
      <c r="P30" s="96">
        <f>13614648/1000</f>
        <v>13614.648</v>
      </c>
      <c r="Q30" s="96">
        <v>14081.3</v>
      </c>
      <c r="R30" s="103">
        <v>14268.4</v>
      </c>
      <c r="S30" s="103">
        <v>14443.1</v>
      </c>
    </row>
    <row r="31" spans="1:19" s="3" customFormat="1" ht="62.25" customHeight="1">
      <c r="A31" s="81"/>
      <c r="B31" s="12" t="s">
        <v>237</v>
      </c>
      <c r="C31" s="13"/>
      <c r="D31" s="88" t="s">
        <v>522</v>
      </c>
      <c r="E31" s="8" t="s">
        <v>81</v>
      </c>
      <c r="F31" s="8" t="s">
        <v>165</v>
      </c>
      <c r="G31" s="8" t="s">
        <v>82</v>
      </c>
      <c r="H31" s="8"/>
      <c r="I31" s="8"/>
      <c r="J31" s="8"/>
      <c r="K31" s="8" t="s">
        <v>238</v>
      </c>
      <c r="L31" s="8" t="s">
        <v>30</v>
      </c>
      <c r="M31" s="8" t="s">
        <v>80</v>
      </c>
      <c r="N31" s="96">
        <f>760300/1000</f>
        <v>760.3</v>
      </c>
      <c r="O31" s="96">
        <f>760272.51/1000</f>
        <v>760.27251</v>
      </c>
      <c r="P31" s="96">
        <f>861000/1000</f>
        <v>861</v>
      </c>
      <c r="Q31" s="96">
        <v>912.7</v>
      </c>
      <c r="R31" s="103">
        <v>966.5</v>
      </c>
      <c r="S31" s="103">
        <v>1016.8</v>
      </c>
    </row>
    <row r="32" spans="1:19" s="2" customFormat="1" ht="24.75" customHeight="1">
      <c r="A32" s="80" t="s">
        <v>357</v>
      </c>
      <c r="B32" s="23" t="s">
        <v>367</v>
      </c>
      <c r="C32" s="21"/>
      <c r="D32" s="88"/>
      <c r="E32" s="8"/>
      <c r="F32" s="8"/>
      <c r="G32" s="8"/>
      <c r="H32" s="8"/>
      <c r="I32" s="8"/>
      <c r="J32" s="8"/>
      <c r="K32" s="8"/>
      <c r="L32" s="8"/>
      <c r="M32" s="8"/>
      <c r="N32" s="96"/>
      <c r="O32" s="96"/>
      <c r="P32" s="96"/>
      <c r="Q32" s="105"/>
      <c r="R32" s="106"/>
      <c r="S32" s="106"/>
    </row>
    <row r="33" spans="1:19" s="6" customFormat="1" ht="50.25" customHeight="1">
      <c r="A33" s="80" t="s">
        <v>31</v>
      </c>
      <c r="B33" s="43" t="s">
        <v>32</v>
      </c>
      <c r="C33" s="21"/>
      <c r="D33" s="91"/>
      <c r="E33" s="41"/>
      <c r="F33" s="41"/>
      <c r="G33" s="41"/>
      <c r="H33" s="41"/>
      <c r="I33" s="41"/>
      <c r="J33" s="41"/>
      <c r="K33" s="41"/>
      <c r="L33" s="41"/>
      <c r="M33" s="41"/>
      <c r="N33" s="95">
        <f aca="true" t="shared" si="4" ref="N33:S33">SUM(N34:N35)</f>
        <v>1241.9</v>
      </c>
      <c r="O33" s="95">
        <f t="shared" si="4"/>
        <v>1241.9</v>
      </c>
      <c r="P33" s="95">
        <f t="shared" si="4"/>
        <v>764.9</v>
      </c>
      <c r="Q33" s="95">
        <f t="shared" si="4"/>
        <v>810.794</v>
      </c>
      <c r="R33" s="95">
        <f t="shared" si="4"/>
        <v>858.6308459999999</v>
      </c>
      <c r="S33" s="95">
        <f t="shared" si="4"/>
        <v>903.2796499919999</v>
      </c>
    </row>
    <row r="34" spans="1:19" s="6" customFormat="1" ht="96.75" customHeight="1">
      <c r="A34" s="81"/>
      <c r="B34" s="12" t="s">
        <v>255</v>
      </c>
      <c r="C34" s="13"/>
      <c r="D34" s="88" t="s">
        <v>522</v>
      </c>
      <c r="E34" s="8" t="s">
        <v>81</v>
      </c>
      <c r="F34" s="8" t="s">
        <v>28</v>
      </c>
      <c r="G34" s="8" t="s">
        <v>82</v>
      </c>
      <c r="H34" s="8"/>
      <c r="I34" s="8"/>
      <c r="J34" s="8"/>
      <c r="K34" s="8" t="s">
        <v>725</v>
      </c>
      <c r="L34" s="8" t="s">
        <v>699</v>
      </c>
      <c r="M34" s="8" t="s">
        <v>569</v>
      </c>
      <c r="N34" s="96">
        <f>(1107000+57000)/1000</f>
        <v>1164</v>
      </c>
      <c r="O34" s="96">
        <f>(1107000+57000)/1000</f>
        <v>1164</v>
      </c>
      <c r="P34" s="96">
        <v>682.9</v>
      </c>
      <c r="Q34" s="96">
        <f>P34*1.06</f>
        <v>723.874</v>
      </c>
      <c r="R34" s="103">
        <f>Q34*1.059</f>
        <v>766.5825659999999</v>
      </c>
      <c r="S34" s="103">
        <f>R34*1.052</f>
        <v>806.4448594319999</v>
      </c>
    </row>
    <row r="35" spans="1:19" s="6" customFormat="1" ht="158.25" customHeight="1">
      <c r="A35" s="80"/>
      <c r="B35" s="12" t="s">
        <v>262</v>
      </c>
      <c r="C35" s="21"/>
      <c r="D35" s="88" t="s">
        <v>522</v>
      </c>
      <c r="E35" s="8" t="s">
        <v>775</v>
      </c>
      <c r="F35" s="8" t="s">
        <v>776</v>
      </c>
      <c r="G35" s="8" t="s">
        <v>80</v>
      </c>
      <c r="H35" s="8"/>
      <c r="I35" s="8"/>
      <c r="J35" s="8"/>
      <c r="K35" s="8" t="s">
        <v>545</v>
      </c>
      <c r="L35" s="8" t="s">
        <v>431</v>
      </c>
      <c r="M35" s="8" t="s">
        <v>444</v>
      </c>
      <c r="N35" s="96">
        <f>77900/1000</f>
        <v>77.9</v>
      </c>
      <c r="O35" s="96">
        <f>77900/1000</f>
        <v>77.9</v>
      </c>
      <c r="P35" s="96">
        <f>82000/1000</f>
        <v>82</v>
      </c>
      <c r="Q35" s="96">
        <f>P35*1.06</f>
        <v>86.92</v>
      </c>
      <c r="R35" s="103">
        <f>Q35*1.059</f>
        <v>92.04827999999999</v>
      </c>
      <c r="S35" s="103">
        <f>R35*1.052</f>
        <v>96.83479056</v>
      </c>
    </row>
    <row r="36" spans="1:19" s="2" customFormat="1" ht="24" customHeight="1">
      <c r="A36" s="80" t="s">
        <v>485</v>
      </c>
      <c r="B36" s="23" t="s">
        <v>486</v>
      </c>
      <c r="C36" s="21"/>
      <c r="D36" s="88"/>
      <c r="E36" s="8"/>
      <c r="F36" s="8"/>
      <c r="G36" s="8"/>
      <c r="H36" s="8"/>
      <c r="I36" s="8"/>
      <c r="J36" s="8"/>
      <c r="K36" s="8"/>
      <c r="L36" s="8"/>
      <c r="M36" s="8"/>
      <c r="N36" s="95">
        <f aca="true" t="shared" si="5" ref="N36:S36">SUM(N37:N41)</f>
        <v>8557.6</v>
      </c>
      <c r="O36" s="95">
        <f t="shared" si="5"/>
        <v>8402.07002</v>
      </c>
      <c r="P36" s="95">
        <f t="shared" si="5"/>
        <v>380.2</v>
      </c>
      <c r="Q36" s="95">
        <f t="shared" si="5"/>
        <v>0</v>
      </c>
      <c r="R36" s="95">
        <f t="shared" si="5"/>
        <v>0</v>
      </c>
      <c r="S36" s="95">
        <f t="shared" si="5"/>
        <v>0</v>
      </c>
    </row>
    <row r="37" spans="1:19" s="3" customFormat="1" ht="42.75" customHeight="1">
      <c r="A37" s="82"/>
      <c r="B37" s="156" t="s">
        <v>538</v>
      </c>
      <c r="C37" s="13"/>
      <c r="D37" s="89" t="s">
        <v>35</v>
      </c>
      <c r="E37" s="150" t="s">
        <v>81</v>
      </c>
      <c r="F37" s="150" t="s">
        <v>28</v>
      </c>
      <c r="G37" s="150" t="s">
        <v>82</v>
      </c>
      <c r="H37" s="150" t="s">
        <v>777</v>
      </c>
      <c r="I37" s="150" t="s">
        <v>778</v>
      </c>
      <c r="J37" s="150" t="s">
        <v>779</v>
      </c>
      <c r="K37" s="150" t="s">
        <v>914</v>
      </c>
      <c r="L37" s="150" t="s">
        <v>431</v>
      </c>
      <c r="M37" s="150" t="s">
        <v>915</v>
      </c>
      <c r="N37" s="98">
        <f>341300/1000</f>
        <v>341.3</v>
      </c>
      <c r="O37" s="98">
        <f>231393.16/1000</f>
        <v>231.39316</v>
      </c>
      <c r="P37" s="108">
        <f>318200/1000</f>
        <v>318.2</v>
      </c>
      <c r="Q37" s="108">
        <v>0</v>
      </c>
      <c r="R37" s="108">
        <v>0</v>
      </c>
      <c r="S37" s="108">
        <v>0</v>
      </c>
    </row>
    <row r="38" spans="1:19" s="3" customFormat="1" ht="42.75" customHeight="1">
      <c r="A38" s="84"/>
      <c r="B38" s="157"/>
      <c r="C38" s="13"/>
      <c r="D38" s="92" t="s">
        <v>250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09">
        <f>90300/1000</f>
        <v>90.3</v>
      </c>
      <c r="O38" s="109">
        <f>44680.96/1000</f>
        <v>44.68096</v>
      </c>
      <c r="P38" s="110">
        <f>62000/1000</f>
        <v>62</v>
      </c>
      <c r="Q38" s="110"/>
      <c r="R38" s="110"/>
      <c r="S38" s="110"/>
    </row>
    <row r="39" spans="1:19" s="3" customFormat="1" ht="142.5" customHeight="1">
      <c r="A39" s="81"/>
      <c r="B39" s="12" t="s">
        <v>114</v>
      </c>
      <c r="C39" s="13"/>
      <c r="D39" s="88" t="s">
        <v>508</v>
      </c>
      <c r="E39" s="8" t="s">
        <v>81</v>
      </c>
      <c r="F39" s="8" t="s">
        <v>28</v>
      </c>
      <c r="G39" s="8" t="s">
        <v>82</v>
      </c>
      <c r="H39" s="8"/>
      <c r="I39" s="8"/>
      <c r="J39" s="8"/>
      <c r="K39" s="8" t="s">
        <v>197</v>
      </c>
      <c r="L39" s="8" t="s">
        <v>198</v>
      </c>
      <c r="M39" s="8" t="s">
        <v>450</v>
      </c>
      <c r="N39" s="96">
        <f>1100000/1000</f>
        <v>1100</v>
      </c>
      <c r="O39" s="96">
        <f>1099995.9/1000</f>
        <v>1099.9959</v>
      </c>
      <c r="P39" s="96">
        <v>0</v>
      </c>
      <c r="Q39" s="96">
        <v>0</v>
      </c>
      <c r="R39" s="100">
        <v>0</v>
      </c>
      <c r="S39" s="100">
        <v>0</v>
      </c>
    </row>
    <row r="40" spans="1:19" s="5" customFormat="1" ht="60.75" customHeight="1">
      <c r="A40" s="85"/>
      <c r="B40" s="14" t="s">
        <v>482</v>
      </c>
      <c r="C40" s="15"/>
      <c r="D40" s="88" t="s">
        <v>508</v>
      </c>
      <c r="E40" s="8" t="s">
        <v>81</v>
      </c>
      <c r="F40" s="8" t="s">
        <v>28</v>
      </c>
      <c r="G40" s="8" t="s">
        <v>82</v>
      </c>
      <c r="H40" s="8" t="s">
        <v>780</v>
      </c>
      <c r="I40" s="8" t="s">
        <v>431</v>
      </c>
      <c r="J40" s="8" t="s">
        <v>781</v>
      </c>
      <c r="K40" s="8" t="s">
        <v>21</v>
      </c>
      <c r="L40" s="8" t="s">
        <v>431</v>
      </c>
      <c r="M40" s="8" t="s">
        <v>580</v>
      </c>
      <c r="N40" s="96">
        <f>3000000/1000</f>
        <v>3000</v>
      </c>
      <c r="O40" s="96">
        <f>3000000/1000</f>
        <v>3000</v>
      </c>
      <c r="P40" s="96">
        <v>0</v>
      </c>
      <c r="Q40" s="96">
        <v>0</v>
      </c>
      <c r="R40" s="96">
        <v>0</v>
      </c>
      <c r="S40" s="96">
        <v>0</v>
      </c>
    </row>
    <row r="41" spans="1:19" s="3" customFormat="1" ht="61.5" customHeight="1">
      <c r="A41" s="81"/>
      <c r="B41" s="12" t="s">
        <v>20</v>
      </c>
      <c r="C41" s="13"/>
      <c r="D41" s="88" t="s">
        <v>508</v>
      </c>
      <c r="E41" s="8" t="s">
        <v>81</v>
      </c>
      <c r="F41" s="8" t="s">
        <v>28</v>
      </c>
      <c r="G41" s="8" t="s">
        <v>82</v>
      </c>
      <c r="H41" s="8"/>
      <c r="I41" s="8"/>
      <c r="J41" s="8"/>
      <c r="K41" s="8" t="s">
        <v>21</v>
      </c>
      <c r="L41" s="8" t="s">
        <v>431</v>
      </c>
      <c r="M41" s="8" t="s">
        <v>22</v>
      </c>
      <c r="N41" s="96">
        <f>4026000/1000</f>
        <v>4026</v>
      </c>
      <c r="O41" s="96">
        <f>4026000/1000</f>
        <v>4026</v>
      </c>
      <c r="P41" s="96">
        <v>0</v>
      </c>
      <c r="Q41" s="96">
        <v>0</v>
      </c>
      <c r="R41" s="100">
        <v>0</v>
      </c>
      <c r="S41" s="100">
        <v>0</v>
      </c>
    </row>
    <row r="42" spans="1:19" s="2" customFormat="1" ht="47.25" customHeight="1">
      <c r="A42" s="80" t="s">
        <v>227</v>
      </c>
      <c r="B42" s="23" t="s">
        <v>343</v>
      </c>
      <c r="C42" s="21"/>
      <c r="D42" s="88"/>
      <c r="E42" s="8"/>
      <c r="F42" s="8"/>
      <c r="G42" s="8"/>
      <c r="H42" s="8"/>
      <c r="I42" s="8"/>
      <c r="J42" s="8"/>
      <c r="K42" s="8"/>
      <c r="L42" s="8"/>
      <c r="M42" s="8"/>
      <c r="N42" s="95">
        <f aca="true" t="shared" si="6" ref="N42:S42">SUM(N43:N43)</f>
        <v>2360.8321</v>
      </c>
      <c r="O42" s="95">
        <f t="shared" si="6"/>
        <v>2226.47106</v>
      </c>
      <c r="P42" s="95">
        <f t="shared" si="6"/>
        <v>4554</v>
      </c>
      <c r="Q42" s="95">
        <f t="shared" si="6"/>
        <v>4827.3</v>
      </c>
      <c r="R42" s="95">
        <f t="shared" si="6"/>
        <v>5112</v>
      </c>
      <c r="S42" s="95">
        <f t="shared" si="6"/>
        <v>5377.9</v>
      </c>
    </row>
    <row r="43" spans="1:19" s="3" customFormat="1" ht="101.25" customHeight="1">
      <c r="A43" s="154"/>
      <c r="B43" s="156" t="s">
        <v>571</v>
      </c>
      <c r="C43" s="13"/>
      <c r="D43" s="158" t="s">
        <v>434</v>
      </c>
      <c r="E43" s="150" t="s">
        <v>81</v>
      </c>
      <c r="F43" s="150" t="s">
        <v>166</v>
      </c>
      <c r="G43" s="150" t="s">
        <v>82</v>
      </c>
      <c r="H43" s="150" t="s">
        <v>777</v>
      </c>
      <c r="I43" s="150" t="s">
        <v>778</v>
      </c>
      <c r="J43" s="150" t="s">
        <v>779</v>
      </c>
      <c r="K43" s="49" t="s">
        <v>726</v>
      </c>
      <c r="L43" s="49" t="s">
        <v>727</v>
      </c>
      <c r="M43" s="49" t="s">
        <v>728</v>
      </c>
      <c r="N43" s="152">
        <f>2360832.1/1000</f>
        <v>2360.8321</v>
      </c>
      <c r="O43" s="152">
        <f>2226471.06/1000</f>
        <v>2226.47106</v>
      </c>
      <c r="P43" s="152">
        <v>4554</v>
      </c>
      <c r="Q43" s="152">
        <v>4827.3</v>
      </c>
      <c r="R43" s="139">
        <v>5112</v>
      </c>
      <c r="S43" s="139">
        <v>5377.9</v>
      </c>
    </row>
    <row r="44" spans="1:19" s="3" customFormat="1" ht="123.75" customHeight="1">
      <c r="A44" s="155"/>
      <c r="B44" s="157"/>
      <c r="C44" s="13"/>
      <c r="D44" s="159"/>
      <c r="E44" s="151"/>
      <c r="F44" s="151"/>
      <c r="G44" s="151"/>
      <c r="H44" s="151"/>
      <c r="I44" s="151"/>
      <c r="J44" s="151"/>
      <c r="K44" s="51" t="s">
        <v>938</v>
      </c>
      <c r="L44" s="51" t="s">
        <v>431</v>
      </c>
      <c r="M44" s="51" t="s">
        <v>729</v>
      </c>
      <c r="N44" s="153"/>
      <c r="O44" s="153"/>
      <c r="P44" s="153"/>
      <c r="Q44" s="153"/>
      <c r="R44" s="141"/>
      <c r="S44" s="141"/>
    </row>
    <row r="45" spans="1:19" s="2" customFormat="1" ht="48.75" customHeight="1">
      <c r="A45" s="80" t="s">
        <v>430</v>
      </c>
      <c r="B45" s="23" t="s">
        <v>272</v>
      </c>
      <c r="C45" s="21"/>
      <c r="D45" s="88"/>
      <c r="E45" s="8"/>
      <c r="F45" s="8"/>
      <c r="G45" s="8"/>
      <c r="H45" s="8"/>
      <c r="I45" s="8"/>
      <c r="J45" s="8"/>
      <c r="K45" s="8"/>
      <c r="L45" s="8"/>
      <c r="M45" s="8"/>
      <c r="N45" s="95">
        <f aca="true" t="shared" si="7" ref="N45:S45">SUM(N46:N49)</f>
        <v>472.26899</v>
      </c>
      <c r="O45" s="95">
        <f t="shared" si="7"/>
        <v>472.26899</v>
      </c>
      <c r="P45" s="95">
        <f t="shared" si="7"/>
        <v>568</v>
      </c>
      <c r="Q45" s="95">
        <f t="shared" si="7"/>
        <v>602.1</v>
      </c>
      <c r="R45" s="95">
        <f t="shared" si="7"/>
        <v>637.581</v>
      </c>
      <c r="S45" s="95">
        <f t="shared" si="7"/>
        <v>670.7368120000001</v>
      </c>
    </row>
    <row r="46" spans="1:19" s="3" customFormat="1" ht="66" customHeight="1">
      <c r="A46" s="81"/>
      <c r="B46" s="12" t="s">
        <v>162</v>
      </c>
      <c r="C46" s="13"/>
      <c r="D46" s="88" t="s">
        <v>249</v>
      </c>
      <c r="E46" s="8" t="s">
        <v>81</v>
      </c>
      <c r="F46" s="8" t="s">
        <v>28</v>
      </c>
      <c r="G46" s="8" t="s">
        <v>82</v>
      </c>
      <c r="H46" s="8"/>
      <c r="I46" s="8"/>
      <c r="J46" s="8"/>
      <c r="K46" s="8" t="s">
        <v>572</v>
      </c>
      <c r="L46" s="8" t="s">
        <v>194</v>
      </c>
      <c r="M46" s="8" t="s">
        <v>23</v>
      </c>
      <c r="N46" s="96">
        <f>419387.25/1000</f>
        <v>419.38725</v>
      </c>
      <c r="O46" s="96">
        <f>419387.25/1000</f>
        <v>419.38725</v>
      </c>
      <c r="P46" s="96">
        <v>0</v>
      </c>
      <c r="Q46" s="96">
        <v>0</v>
      </c>
      <c r="R46" s="96">
        <v>0</v>
      </c>
      <c r="S46" s="96">
        <v>0</v>
      </c>
    </row>
    <row r="47" spans="1:19" s="3" customFormat="1" ht="48.75" customHeight="1">
      <c r="A47" s="154"/>
      <c r="B47" s="156" t="s">
        <v>730</v>
      </c>
      <c r="C47" s="13"/>
      <c r="D47" s="158" t="s">
        <v>249</v>
      </c>
      <c r="E47" s="150" t="s">
        <v>81</v>
      </c>
      <c r="F47" s="150" t="s">
        <v>28</v>
      </c>
      <c r="G47" s="150" t="s">
        <v>82</v>
      </c>
      <c r="H47" s="150"/>
      <c r="I47" s="150"/>
      <c r="J47" s="150"/>
      <c r="K47" s="49" t="s">
        <v>731</v>
      </c>
      <c r="L47" s="60" t="s">
        <v>154</v>
      </c>
      <c r="M47" s="60" t="s">
        <v>732</v>
      </c>
      <c r="N47" s="152">
        <v>0</v>
      </c>
      <c r="O47" s="152">
        <v>0</v>
      </c>
      <c r="P47" s="152">
        <f>418000/1000</f>
        <v>418</v>
      </c>
      <c r="Q47" s="152">
        <v>443.1</v>
      </c>
      <c r="R47" s="139">
        <v>469.2</v>
      </c>
      <c r="S47" s="139">
        <v>493.6</v>
      </c>
    </row>
    <row r="48" spans="1:19" s="3" customFormat="1" ht="63.75" customHeight="1">
      <c r="A48" s="155"/>
      <c r="B48" s="157"/>
      <c r="C48" s="13"/>
      <c r="D48" s="159"/>
      <c r="E48" s="151"/>
      <c r="F48" s="151"/>
      <c r="G48" s="151"/>
      <c r="H48" s="151"/>
      <c r="I48" s="151"/>
      <c r="J48" s="151"/>
      <c r="K48" s="51" t="s">
        <v>939</v>
      </c>
      <c r="L48" s="61" t="s">
        <v>431</v>
      </c>
      <c r="M48" s="61" t="s">
        <v>940</v>
      </c>
      <c r="N48" s="153"/>
      <c r="O48" s="153"/>
      <c r="P48" s="153"/>
      <c r="Q48" s="153"/>
      <c r="R48" s="141"/>
      <c r="S48" s="141"/>
    </row>
    <row r="49" spans="1:19" s="3" customFormat="1" ht="77.25" customHeight="1">
      <c r="A49" s="81"/>
      <c r="B49" s="12" t="s">
        <v>521</v>
      </c>
      <c r="C49" s="13"/>
      <c r="D49" s="88" t="s">
        <v>507</v>
      </c>
      <c r="E49" s="8" t="s">
        <v>81</v>
      </c>
      <c r="F49" s="8" t="s">
        <v>28</v>
      </c>
      <c r="G49" s="8" t="s">
        <v>82</v>
      </c>
      <c r="H49" s="8"/>
      <c r="I49" s="8"/>
      <c r="J49" s="8"/>
      <c r="K49" s="8" t="s">
        <v>592</v>
      </c>
      <c r="L49" s="8" t="s">
        <v>593</v>
      </c>
      <c r="M49" s="8" t="s">
        <v>594</v>
      </c>
      <c r="N49" s="96">
        <f>52881.74/1000</f>
        <v>52.88174</v>
      </c>
      <c r="O49" s="96">
        <f>52881.74/1000</f>
        <v>52.88174</v>
      </c>
      <c r="P49" s="96">
        <f>150000/1000</f>
        <v>150</v>
      </c>
      <c r="Q49" s="96">
        <f>P49*1.06</f>
        <v>159</v>
      </c>
      <c r="R49" s="103">
        <f>Q49*1.059</f>
        <v>168.381</v>
      </c>
      <c r="S49" s="103">
        <f>R49*1.052</f>
        <v>177.13681200000002</v>
      </c>
    </row>
    <row r="50" spans="1:19" s="2" customFormat="1" ht="48.75" customHeight="1">
      <c r="A50" s="80" t="s">
        <v>235</v>
      </c>
      <c r="B50" s="23" t="s">
        <v>236</v>
      </c>
      <c r="C50" s="21"/>
      <c r="D50" s="88"/>
      <c r="E50" s="8"/>
      <c r="F50" s="8"/>
      <c r="G50" s="8"/>
      <c r="H50" s="8"/>
      <c r="I50" s="8"/>
      <c r="J50" s="8"/>
      <c r="K50" s="8"/>
      <c r="L50" s="8"/>
      <c r="M50" s="8"/>
      <c r="N50" s="96"/>
      <c r="O50" s="96"/>
      <c r="P50" s="105"/>
      <c r="Q50" s="105"/>
      <c r="R50" s="106"/>
      <c r="S50" s="106"/>
    </row>
    <row r="51" spans="1:19" s="6" customFormat="1" ht="48" customHeight="1">
      <c r="A51" s="80" t="s">
        <v>405</v>
      </c>
      <c r="B51" s="23" t="s">
        <v>319</v>
      </c>
      <c r="C51" s="21"/>
      <c r="D51" s="91"/>
      <c r="E51" s="130"/>
      <c r="F51" s="130"/>
      <c r="G51" s="130"/>
      <c r="H51" s="41"/>
      <c r="I51" s="41"/>
      <c r="J51" s="41"/>
      <c r="K51" s="41"/>
      <c r="L51" s="41"/>
      <c r="M51" s="41"/>
      <c r="N51" s="95">
        <f aca="true" t="shared" si="8" ref="N51:S51">SUM(N52:N63)</f>
        <v>8967.404779999999</v>
      </c>
      <c r="O51" s="95">
        <f t="shared" si="8"/>
        <v>7802.52998</v>
      </c>
      <c r="P51" s="95">
        <f t="shared" si="8"/>
        <v>2614.133</v>
      </c>
      <c r="Q51" s="95">
        <f t="shared" si="8"/>
        <v>1603.6009800000002</v>
      </c>
      <c r="R51" s="95">
        <f t="shared" si="8"/>
        <v>1698.2751378199998</v>
      </c>
      <c r="S51" s="95">
        <f t="shared" si="8"/>
        <v>1786.59824498664</v>
      </c>
    </row>
    <row r="52" spans="1:19" s="6" customFormat="1" ht="84.75" customHeight="1">
      <c r="A52" s="80"/>
      <c r="B52" s="12" t="s">
        <v>310</v>
      </c>
      <c r="C52" s="21"/>
      <c r="D52" s="88" t="s">
        <v>252</v>
      </c>
      <c r="E52" s="130" t="s">
        <v>81</v>
      </c>
      <c r="F52" s="130" t="s">
        <v>97</v>
      </c>
      <c r="G52" s="130" t="s">
        <v>82</v>
      </c>
      <c r="H52" s="8" t="s">
        <v>788</v>
      </c>
      <c r="I52" s="8" t="s">
        <v>136</v>
      </c>
      <c r="J52" s="8" t="s">
        <v>789</v>
      </c>
      <c r="K52" s="8" t="s">
        <v>546</v>
      </c>
      <c r="L52" s="8" t="s">
        <v>30</v>
      </c>
      <c r="M52" s="8" t="s">
        <v>221</v>
      </c>
      <c r="N52" s="96">
        <f>3094612/1000</f>
        <v>3094.612</v>
      </c>
      <c r="O52" s="96">
        <f>3094612/1000</f>
        <v>3094.612</v>
      </c>
      <c r="P52" s="96">
        <v>0</v>
      </c>
      <c r="Q52" s="96">
        <v>0</v>
      </c>
      <c r="R52" s="96">
        <v>0</v>
      </c>
      <c r="S52" s="96">
        <v>0</v>
      </c>
    </row>
    <row r="53" spans="1:19" s="3" customFormat="1" ht="99.75" customHeight="1">
      <c r="A53" s="81"/>
      <c r="B53" s="12" t="s">
        <v>157</v>
      </c>
      <c r="C53" s="13"/>
      <c r="D53" s="88" t="s">
        <v>507</v>
      </c>
      <c r="E53" s="130" t="s">
        <v>81</v>
      </c>
      <c r="F53" s="130" t="s">
        <v>97</v>
      </c>
      <c r="G53" s="130" t="s">
        <v>82</v>
      </c>
      <c r="H53" s="8" t="s">
        <v>790</v>
      </c>
      <c r="I53" s="8" t="s">
        <v>791</v>
      </c>
      <c r="J53" s="8" t="s">
        <v>792</v>
      </c>
      <c r="K53" s="8" t="s">
        <v>17</v>
      </c>
      <c r="L53" s="8" t="s">
        <v>699</v>
      </c>
      <c r="M53" s="8" t="s">
        <v>569</v>
      </c>
      <c r="N53" s="96">
        <f>100283.53/1000</f>
        <v>100.28353</v>
      </c>
      <c r="O53" s="96">
        <f>100283.53/1000</f>
        <v>100.28353</v>
      </c>
      <c r="P53" s="96">
        <v>0</v>
      </c>
      <c r="Q53" s="96">
        <v>0</v>
      </c>
      <c r="R53" s="96">
        <v>0</v>
      </c>
      <c r="S53" s="96">
        <v>0</v>
      </c>
    </row>
    <row r="54" spans="1:19" s="3" customFormat="1" ht="74.25" customHeight="1">
      <c r="A54" s="81"/>
      <c r="B54" s="12" t="s">
        <v>452</v>
      </c>
      <c r="C54" s="13"/>
      <c r="D54" s="88" t="s">
        <v>252</v>
      </c>
      <c r="E54" s="130" t="s">
        <v>81</v>
      </c>
      <c r="F54" s="130" t="s">
        <v>97</v>
      </c>
      <c r="G54" s="130" t="s">
        <v>82</v>
      </c>
      <c r="H54" s="8" t="s">
        <v>790</v>
      </c>
      <c r="I54" s="8" t="s">
        <v>791</v>
      </c>
      <c r="J54" s="8" t="s">
        <v>792</v>
      </c>
      <c r="K54" s="8" t="s">
        <v>588</v>
      </c>
      <c r="L54" s="8" t="s">
        <v>589</v>
      </c>
      <c r="M54" s="8" t="s">
        <v>590</v>
      </c>
      <c r="N54" s="96">
        <f>734174.5/1000</f>
        <v>734.1745</v>
      </c>
      <c r="O54" s="96">
        <f>699314.5/1000</f>
        <v>699.3145</v>
      </c>
      <c r="P54" s="96">
        <v>52</v>
      </c>
      <c r="Q54" s="96">
        <f>P54*1.06</f>
        <v>55.120000000000005</v>
      </c>
      <c r="R54" s="103">
        <f>Q54*1.059</f>
        <v>58.372080000000004</v>
      </c>
      <c r="S54" s="103">
        <f>R54*1.052</f>
        <v>61.40742816000001</v>
      </c>
    </row>
    <row r="55" spans="1:19" s="3" customFormat="1" ht="101.25" customHeight="1">
      <c r="A55" s="81"/>
      <c r="B55" s="12" t="s">
        <v>697</v>
      </c>
      <c r="C55" s="13"/>
      <c r="D55" s="88" t="s">
        <v>252</v>
      </c>
      <c r="E55" s="8" t="s">
        <v>905</v>
      </c>
      <c r="F55" s="8" t="s">
        <v>906</v>
      </c>
      <c r="G55" s="11">
        <v>38006</v>
      </c>
      <c r="H55" s="8" t="s">
        <v>793</v>
      </c>
      <c r="I55" s="8" t="s">
        <v>431</v>
      </c>
      <c r="J55" s="8" t="s">
        <v>794</v>
      </c>
      <c r="K55" s="8" t="s">
        <v>137</v>
      </c>
      <c r="L55" s="8" t="s">
        <v>62</v>
      </c>
      <c r="M55" s="8" t="s">
        <v>63</v>
      </c>
      <c r="N55" s="96">
        <f>496105.95/1000</f>
        <v>496.10595</v>
      </c>
      <c r="O55" s="96">
        <f>496091.15/1000</f>
        <v>496.09115</v>
      </c>
      <c r="P55" s="96">
        <v>1088</v>
      </c>
      <c r="Q55" s="96">
        <v>1183.7</v>
      </c>
      <c r="R55" s="103">
        <v>1253.6</v>
      </c>
      <c r="S55" s="103">
        <v>1318.8</v>
      </c>
    </row>
    <row r="56" spans="1:19" s="3" customFormat="1" ht="88.5" customHeight="1">
      <c r="A56" s="81"/>
      <c r="B56" s="12" t="s">
        <v>453</v>
      </c>
      <c r="C56" s="13"/>
      <c r="D56" s="88" t="s">
        <v>252</v>
      </c>
      <c r="E56" s="8" t="s">
        <v>785</v>
      </c>
      <c r="F56" s="8" t="s">
        <v>786</v>
      </c>
      <c r="G56" s="8" t="s">
        <v>787</v>
      </c>
      <c r="H56" s="8" t="s">
        <v>795</v>
      </c>
      <c r="I56" s="8" t="s">
        <v>194</v>
      </c>
      <c r="J56" s="8" t="s">
        <v>796</v>
      </c>
      <c r="K56" s="8" t="s">
        <v>585</v>
      </c>
      <c r="L56" s="8" t="s">
        <v>586</v>
      </c>
      <c r="M56" s="8" t="s">
        <v>587</v>
      </c>
      <c r="N56" s="96">
        <f>49900/1000</f>
        <v>49.9</v>
      </c>
      <c r="O56" s="96">
        <f>49900/1000</f>
        <v>49.9</v>
      </c>
      <c r="P56" s="96">
        <f>100000/1000</f>
        <v>100</v>
      </c>
      <c r="Q56" s="96">
        <f>P56*1.06</f>
        <v>106</v>
      </c>
      <c r="R56" s="103">
        <f>Q56*1.059</f>
        <v>112.25399999999999</v>
      </c>
      <c r="S56" s="103">
        <f>R56*1.052</f>
        <v>118.091208</v>
      </c>
    </row>
    <row r="57" spans="1:19" s="3" customFormat="1" ht="110.25" customHeight="1">
      <c r="A57" s="81"/>
      <c r="B57" s="12" t="s">
        <v>543</v>
      </c>
      <c r="C57" s="13"/>
      <c r="D57" s="88" t="s">
        <v>507</v>
      </c>
      <c r="E57" s="130" t="s">
        <v>81</v>
      </c>
      <c r="F57" s="130" t="s">
        <v>97</v>
      </c>
      <c r="G57" s="130" t="s">
        <v>82</v>
      </c>
      <c r="H57" s="8" t="s">
        <v>790</v>
      </c>
      <c r="I57" s="8" t="s">
        <v>791</v>
      </c>
      <c r="J57" s="8" t="s">
        <v>792</v>
      </c>
      <c r="K57" s="8" t="s">
        <v>733</v>
      </c>
      <c r="L57" s="8" t="s">
        <v>699</v>
      </c>
      <c r="M57" s="11" t="s">
        <v>569</v>
      </c>
      <c r="N57" s="96">
        <v>0</v>
      </c>
      <c r="O57" s="96">
        <v>0</v>
      </c>
      <c r="P57" s="96">
        <f>244133/1000</f>
        <v>244.133</v>
      </c>
      <c r="Q57" s="96">
        <f>P57*1.06</f>
        <v>258.78098</v>
      </c>
      <c r="R57" s="103">
        <f>Q57*1.059</f>
        <v>274.04905782</v>
      </c>
      <c r="S57" s="103">
        <f>R57*1.052</f>
        <v>288.29960882664</v>
      </c>
    </row>
    <row r="58" spans="1:19" s="3" customFormat="1" ht="97.5" customHeight="1">
      <c r="A58" s="154"/>
      <c r="B58" s="156" t="s">
        <v>610</v>
      </c>
      <c r="C58" s="47"/>
      <c r="D58" s="158" t="s">
        <v>252</v>
      </c>
      <c r="E58" s="161" t="s">
        <v>81</v>
      </c>
      <c r="F58" s="161" t="s">
        <v>97</v>
      </c>
      <c r="G58" s="161" t="s">
        <v>82</v>
      </c>
      <c r="H58" s="150" t="s">
        <v>797</v>
      </c>
      <c r="I58" s="150" t="s">
        <v>154</v>
      </c>
      <c r="J58" s="150" t="s">
        <v>798</v>
      </c>
      <c r="K58" s="49" t="s">
        <v>599</v>
      </c>
      <c r="L58" s="60" t="s">
        <v>136</v>
      </c>
      <c r="M58" s="60" t="s">
        <v>383</v>
      </c>
      <c r="N58" s="144">
        <f>1130000/1000</f>
        <v>1130</v>
      </c>
      <c r="O58" s="144"/>
      <c r="P58" s="152">
        <f>1130000/1000</f>
        <v>1130</v>
      </c>
      <c r="Q58" s="144"/>
      <c r="R58" s="142"/>
      <c r="S58" s="142"/>
    </row>
    <row r="59" spans="1:19" s="3" customFormat="1" ht="109.5" customHeight="1">
      <c r="A59" s="155"/>
      <c r="B59" s="157"/>
      <c r="C59" s="47"/>
      <c r="D59" s="159"/>
      <c r="E59" s="162"/>
      <c r="F59" s="162"/>
      <c r="G59" s="162"/>
      <c r="H59" s="151"/>
      <c r="I59" s="151"/>
      <c r="J59" s="151"/>
      <c r="K59" s="61" t="s">
        <v>703</v>
      </c>
      <c r="L59" s="61" t="s">
        <v>154</v>
      </c>
      <c r="M59" s="61" t="s">
        <v>704</v>
      </c>
      <c r="N59" s="168"/>
      <c r="O59" s="168"/>
      <c r="P59" s="153"/>
      <c r="Q59" s="168"/>
      <c r="R59" s="143"/>
      <c r="S59" s="143"/>
    </row>
    <row r="60" spans="1:19" s="3" customFormat="1" ht="97.5" customHeight="1">
      <c r="A60" s="154"/>
      <c r="B60" s="171" t="s">
        <v>607</v>
      </c>
      <c r="C60" s="169"/>
      <c r="D60" s="175" t="s">
        <v>252</v>
      </c>
      <c r="E60" s="161" t="s">
        <v>81</v>
      </c>
      <c r="F60" s="161" t="s">
        <v>97</v>
      </c>
      <c r="G60" s="161" t="s">
        <v>82</v>
      </c>
      <c r="H60" s="150" t="s">
        <v>799</v>
      </c>
      <c r="I60" s="150" t="s">
        <v>154</v>
      </c>
      <c r="J60" s="150" t="s">
        <v>800</v>
      </c>
      <c r="K60" s="60" t="s">
        <v>599</v>
      </c>
      <c r="L60" s="60" t="s">
        <v>136</v>
      </c>
      <c r="M60" s="60" t="s">
        <v>600</v>
      </c>
      <c r="N60" s="152">
        <f>6028.8/1000</f>
        <v>6.0288</v>
      </c>
      <c r="O60" s="152">
        <f>6028.8/1000</f>
        <v>6.0288</v>
      </c>
      <c r="P60" s="144"/>
      <c r="Q60" s="144"/>
      <c r="R60" s="142"/>
      <c r="S60" s="142"/>
    </row>
    <row r="61" spans="1:19" s="3" customFormat="1" ht="137.25" customHeight="1">
      <c r="A61" s="155"/>
      <c r="B61" s="172"/>
      <c r="C61" s="170"/>
      <c r="D61" s="176"/>
      <c r="E61" s="162"/>
      <c r="F61" s="162"/>
      <c r="G61" s="162"/>
      <c r="H61" s="151"/>
      <c r="I61" s="151"/>
      <c r="J61" s="151"/>
      <c r="K61" s="61" t="s">
        <v>608</v>
      </c>
      <c r="L61" s="61" t="s">
        <v>30</v>
      </c>
      <c r="M61" s="61" t="s">
        <v>609</v>
      </c>
      <c r="N61" s="153"/>
      <c r="O61" s="153"/>
      <c r="P61" s="168"/>
      <c r="Q61" s="168"/>
      <c r="R61" s="143"/>
      <c r="S61" s="143"/>
    </row>
    <row r="62" spans="1:19" s="3" customFormat="1" ht="50.25" customHeight="1">
      <c r="A62" s="154"/>
      <c r="B62" s="156" t="s">
        <v>598</v>
      </c>
      <c r="C62" s="47"/>
      <c r="D62" s="89" t="s">
        <v>252</v>
      </c>
      <c r="E62" s="150" t="s">
        <v>782</v>
      </c>
      <c r="F62" s="150" t="s">
        <v>783</v>
      </c>
      <c r="G62" s="150" t="s">
        <v>784</v>
      </c>
      <c r="H62" s="150" t="s">
        <v>801</v>
      </c>
      <c r="I62" s="150" t="s">
        <v>194</v>
      </c>
      <c r="J62" s="150" t="s">
        <v>802</v>
      </c>
      <c r="K62" s="150" t="s">
        <v>599</v>
      </c>
      <c r="L62" s="148" t="s">
        <v>136</v>
      </c>
      <c r="M62" s="148" t="s">
        <v>600</v>
      </c>
      <c r="N62" s="98">
        <f>3173500/1000</f>
        <v>3173.5</v>
      </c>
      <c r="O62" s="98">
        <f>3173500/1000</f>
        <v>3173.5</v>
      </c>
      <c r="P62" s="98"/>
      <c r="Q62" s="98"/>
      <c r="R62" s="112"/>
      <c r="S62" s="112"/>
    </row>
    <row r="63" spans="1:19" s="3" customFormat="1" ht="50.25" customHeight="1">
      <c r="A63" s="155"/>
      <c r="B63" s="157"/>
      <c r="C63" s="48"/>
      <c r="D63" s="92" t="s">
        <v>35</v>
      </c>
      <c r="E63" s="151"/>
      <c r="F63" s="151"/>
      <c r="G63" s="151"/>
      <c r="H63" s="151"/>
      <c r="I63" s="151"/>
      <c r="J63" s="151"/>
      <c r="K63" s="151"/>
      <c r="L63" s="149"/>
      <c r="M63" s="149"/>
      <c r="N63" s="109">
        <f>182800/1000</f>
        <v>182.8</v>
      </c>
      <c r="O63" s="109">
        <f>182800/1000</f>
        <v>182.8</v>
      </c>
      <c r="P63" s="109"/>
      <c r="Q63" s="109"/>
      <c r="R63" s="113"/>
      <c r="S63" s="113"/>
    </row>
    <row r="64" spans="1:19" s="2" customFormat="1" ht="36" customHeight="1">
      <c r="A64" s="80" t="s">
        <v>493</v>
      </c>
      <c r="B64" s="23" t="s">
        <v>494</v>
      </c>
      <c r="C64" s="21"/>
      <c r="D64" s="88"/>
      <c r="E64" s="8"/>
      <c r="F64" s="8"/>
      <c r="G64" s="8"/>
      <c r="H64" s="8"/>
      <c r="I64" s="8"/>
      <c r="J64" s="8"/>
      <c r="K64" s="8"/>
      <c r="L64" s="8"/>
      <c r="M64" s="8"/>
      <c r="N64" s="96"/>
      <c r="O64" s="96"/>
      <c r="P64" s="96"/>
      <c r="Q64" s="105"/>
      <c r="R64" s="106"/>
      <c r="S64" s="106"/>
    </row>
    <row r="65" spans="1:19" s="2" customFormat="1" ht="36" customHeight="1">
      <c r="A65" s="80" t="s">
        <v>404</v>
      </c>
      <c r="B65" s="23" t="s">
        <v>167</v>
      </c>
      <c r="C65" s="21"/>
      <c r="D65" s="88"/>
      <c r="E65" s="8"/>
      <c r="F65" s="8"/>
      <c r="G65" s="8"/>
      <c r="H65" s="8"/>
      <c r="I65" s="8"/>
      <c r="J65" s="8"/>
      <c r="K65" s="8"/>
      <c r="L65" s="8"/>
      <c r="M65" s="8"/>
      <c r="N65" s="96"/>
      <c r="O65" s="96"/>
      <c r="P65" s="96"/>
      <c r="Q65" s="105"/>
      <c r="R65" s="106"/>
      <c r="S65" s="106"/>
    </row>
    <row r="66" spans="1:19" s="2" customFormat="1" ht="107.25" customHeight="1">
      <c r="A66" s="80" t="s">
        <v>177</v>
      </c>
      <c r="B66" s="23" t="s">
        <v>130</v>
      </c>
      <c r="C66" s="21"/>
      <c r="D66" s="88"/>
      <c r="E66" s="8"/>
      <c r="F66" s="8"/>
      <c r="G66" s="8"/>
      <c r="H66" s="8"/>
      <c r="I66" s="8"/>
      <c r="J66" s="8"/>
      <c r="K66" s="8"/>
      <c r="L66" s="8"/>
      <c r="M66" s="8"/>
      <c r="N66" s="95">
        <f>SUM(N67:N97)</f>
        <v>203832.44061000002</v>
      </c>
      <c r="O66" s="95">
        <f>SUM(O67:O97)</f>
        <v>203783.22441000002</v>
      </c>
      <c r="P66" s="95">
        <f>SUM(P67:P102)</f>
        <v>214369.99443999998</v>
      </c>
      <c r="Q66" s="95">
        <f>SUM(Q67:Q98)</f>
        <v>207229.188</v>
      </c>
      <c r="R66" s="95">
        <f>SUM(R67:R98)</f>
        <v>219060.946292</v>
      </c>
      <c r="S66" s="95">
        <f>SUM(S67:S98)</f>
        <v>230104.43909918398</v>
      </c>
    </row>
    <row r="67" spans="1:19" s="3" customFormat="1" ht="86.25" customHeight="1">
      <c r="A67" s="174"/>
      <c r="B67" s="173" t="s">
        <v>385</v>
      </c>
      <c r="C67" s="179"/>
      <c r="D67" s="177" t="s">
        <v>386</v>
      </c>
      <c r="E67" s="49" t="s">
        <v>81</v>
      </c>
      <c r="F67" s="49" t="s">
        <v>97</v>
      </c>
      <c r="G67" s="49" t="s">
        <v>82</v>
      </c>
      <c r="H67" s="166" t="s">
        <v>308</v>
      </c>
      <c r="I67" s="166" t="s">
        <v>318</v>
      </c>
      <c r="J67" s="166" t="s">
        <v>389</v>
      </c>
      <c r="K67" s="49" t="s">
        <v>734</v>
      </c>
      <c r="L67" s="49" t="s">
        <v>281</v>
      </c>
      <c r="M67" s="49" t="s">
        <v>80</v>
      </c>
      <c r="N67" s="152">
        <f>(71141658.11+4355000+90000)/1000</f>
        <v>75586.65811</v>
      </c>
      <c r="O67" s="152">
        <f>(71113208.65+4355000+90000)/1000</f>
        <v>75558.20865</v>
      </c>
      <c r="P67" s="152">
        <f>91262362.2/1000</f>
        <v>91262.3622</v>
      </c>
      <c r="Q67" s="152">
        <v>98653.7</v>
      </c>
      <c r="R67" s="139">
        <v>104474.2</v>
      </c>
      <c r="S67" s="139">
        <v>109906.9</v>
      </c>
    </row>
    <row r="68" spans="1:19" s="3" customFormat="1" ht="54.75" customHeight="1">
      <c r="A68" s="174"/>
      <c r="B68" s="173"/>
      <c r="C68" s="179"/>
      <c r="D68" s="177"/>
      <c r="E68" s="51" t="s">
        <v>466</v>
      </c>
      <c r="F68" s="51" t="s">
        <v>803</v>
      </c>
      <c r="G68" s="51" t="s">
        <v>468</v>
      </c>
      <c r="H68" s="166"/>
      <c r="I68" s="166"/>
      <c r="J68" s="166"/>
      <c r="K68" s="51" t="s">
        <v>274</v>
      </c>
      <c r="L68" s="54" t="s">
        <v>275</v>
      </c>
      <c r="M68" s="54" t="s">
        <v>63</v>
      </c>
      <c r="N68" s="153"/>
      <c r="O68" s="153"/>
      <c r="P68" s="153"/>
      <c r="Q68" s="153"/>
      <c r="R68" s="141"/>
      <c r="S68" s="141"/>
    </row>
    <row r="69" spans="1:19" s="3" customFormat="1" ht="43.5" customHeight="1">
      <c r="A69" s="174"/>
      <c r="B69" s="173" t="s">
        <v>245</v>
      </c>
      <c r="C69" s="179"/>
      <c r="D69" s="89" t="s">
        <v>386</v>
      </c>
      <c r="E69" s="166" t="s">
        <v>466</v>
      </c>
      <c r="F69" s="166" t="s">
        <v>276</v>
      </c>
      <c r="G69" s="166" t="s">
        <v>468</v>
      </c>
      <c r="H69" s="166" t="s">
        <v>308</v>
      </c>
      <c r="I69" s="166" t="s">
        <v>277</v>
      </c>
      <c r="J69" s="178" t="s">
        <v>278</v>
      </c>
      <c r="K69" s="166" t="s">
        <v>298</v>
      </c>
      <c r="L69" s="166" t="s">
        <v>279</v>
      </c>
      <c r="M69" s="166" t="s">
        <v>80</v>
      </c>
      <c r="N69" s="98">
        <f>206250/1000</f>
        <v>206.25</v>
      </c>
      <c r="O69" s="98">
        <f>206250/1000</f>
        <v>206.25</v>
      </c>
      <c r="P69" s="98">
        <f>196800/1000</f>
        <v>196.8</v>
      </c>
      <c r="Q69" s="98">
        <f>P69*1.06</f>
        <v>208.60800000000003</v>
      </c>
      <c r="R69" s="112">
        <f>Q69*1.059</f>
        <v>220.91587200000004</v>
      </c>
      <c r="S69" s="112">
        <f>R69*1.052</f>
        <v>232.40349734400004</v>
      </c>
    </row>
    <row r="70" spans="1:19" s="3" customFormat="1" ht="43.5" customHeight="1">
      <c r="A70" s="174"/>
      <c r="B70" s="173"/>
      <c r="C70" s="179"/>
      <c r="D70" s="92" t="s">
        <v>35</v>
      </c>
      <c r="E70" s="166"/>
      <c r="F70" s="166"/>
      <c r="G70" s="166"/>
      <c r="H70" s="166"/>
      <c r="I70" s="166"/>
      <c r="J70" s="166"/>
      <c r="K70" s="166"/>
      <c r="L70" s="166"/>
      <c r="M70" s="166"/>
      <c r="N70" s="109">
        <f>116450/1000</f>
        <v>116.45</v>
      </c>
      <c r="O70" s="109">
        <f>116350/1000</f>
        <v>116.35</v>
      </c>
      <c r="P70" s="109">
        <f>117000/1000</f>
        <v>117</v>
      </c>
      <c r="Q70" s="109">
        <f>P70*1.06</f>
        <v>124.02000000000001</v>
      </c>
      <c r="R70" s="113">
        <f>Q70*1.059</f>
        <v>131.33718</v>
      </c>
      <c r="S70" s="113">
        <f>R70*1.052</f>
        <v>138.16671336</v>
      </c>
    </row>
    <row r="71" spans="1:19" s="3" customFormat="1" ht="85.5" customHeight="1">
      <c r="A71" s="191"/>
      <c r="B71" s="156" t="s">
        <v>189</v>
      </c>
      <c r="C71" s="13"/>
      <c r="D71" s="158" t="s">
        <v>35</v>
      </c>
      <c r="E71" s="49" t="s">
        <v>81</v>
      </c>
      <c r="F71" s="49" t="s">
        <v>97</v>
      </c>
      <c r="G71" s="49" t="s">
        <v>82</v>
      </c>
      <c r="H71" s="150" t="s">
        <v>308</v>
      </c>
      <c r="I71" s="150" t="s">
        <v>318</v>
      </c>
      <c r="J71" s="163" t="s">
        <v>278</v>
      </c>
      <c r="K71" s="49" t="s">
        <v>924</v>
      </c>
      <c r="L71" s="49" t="s">
        <v>154</v>
      </c>
      <c r="M71" s="49" t="s">
        <v>213</v>
      </c>
      <c r="N71" s="152">
        <f>(46454063.34+54293+83100+88000+219500)/1000</f>
        <v>46898.956340000004</v>
      </c>
      <c r="O71" s="152">
        <f>(46450238.57+54293+78740+88000+219500)/1000</f>
        <v>46890.77157</v>
      </c>
      <c r="P71" s="152">
        <f>46792392.24/1000</f>
        <v>46792.39224</v>
      </c>
      <c r="Q71" s="152">
        <v>49682</v>
      </c>
      <c r="R71" s="139">
        <v>52613.2</v>
      </c>
      <c r="S71" s="139">
        <v>55349.1</v>
      </c>
    </row>
    <row r="72" spans="1:19" s="3" customFormat="1" ht="60" customHeight="1">
      <c r="A72" s="192"/>
      <c r="B72" s="157"/>
      <c r="C72" s="13"/>
      <c r="D72" s="159"/>
      <c r="E72" s="51" t="s">
        <v>466</v>
      </c>
      <c r="F72" s="51" t="s">
        <v>803</v>
      </c>
      <c r="G72" s="51" t="s">
        <v>468</v>
      </c>
      <c r="H72" s="151"/>
      <c r="I72" s="151"/>
      <c r="J72" s="181"/>
      <c r="K72" s="61" t="s">
        <v>705</v>
      </c>
      <c r="L72" s="61" t="s">
        <v>339</v>
      </c>
      <c r="M72" s="61" t="s">
        <v>706</v>
      </c>
      <c r="N72" s="153"/>
      <c r="O72" s="153"/>
      <c r="P72" s="153"/>
      <c r="Q72" s="153"/>
      <c r="R72" s="141"/>
      <c r="S72" s="141"/>
    </row>
    <row r="73" spans="1:19" s="3" customFormat="1" ht="63" customHeight="1">
      <c r="A73" s="81"/>
      <c r="B73" s="12" t="s">
        <v>539</v>
      </c>
      <c r="C73" s="13"/>
      <c r="D73" s="88" t="s">
        <v>35</v>
      </c>
      <c r="E73" s="8" t="s">
        <v>466</v>
      </c>
      <c r="F73" s="8" t="s">
        <v>467</v>
      </c>
      <c r="G73" s="8" t="s">
        <v>468</v>
      </c>
      <c r="H73" s="8" t="s">
        <v>308</v>
      </c>
      <c r="I73" s="8" t="s">
        <v>318</v>
      </c>
      <c r="J73" s="8" t="s">
        <v>278</v>
      </c>
      <c r="K73" s="8" t="s">
        <v>696</v>
      </c>
      <c r="L73" s="8" t="s">
        <v>5</v>
      </c>
      <c r="M73" s="8" t="s">
        <v>80</v>
      </c>
      <c r="N73" s="96">
        <f>1161127.84/1000</f>
        <v>1161.12784</v>
      </c>
      <c r="O73" s="96">
        <f>1161124.19/1000</f>
        <v>1161.12419</v>
      </c>
      <c r="P73" s="96">
        <f>1435000/1000</f>
        <v>1435</v>
      </c>
      <c r="Q73" s="96">
        <f aca="true" t="shared" si="9" ref="Q73:Q78">P73*1.06</f>
        <v>1521.1000000000001</v>
      </c>
      <c r="R73" s="103">
        <f aca="true" t="shared" si="10" ref="R73:R78">Q73*1.059</f>
        <v>1610.8449</v>
      </c>
      <c r="S73" s="103">
        <f aca="true" t="shared" si="11" ref="S73:S78">R73*1.052</f>
        <v>1694.6088348</v>
      </c>
    </row>
    <row r="74" spans="1:19" s="3" customFormat="1" ht="34.5" customHeight="1">
      <c r="A74" s="174"/>
      <c r="B74" s="173" t="s">
        <v>465</v>
      </c>
      <c r="C74" s="13"/>
      <c r="D74" s="89" t="s">
        <v>386</v>
      </c>
      <c r="E74" s="49" t="s">
        <v>466</v>
      </c>
      <c r="F74" s="49" t="s">
        <v>803</v>
      </c>
      <c r="G74" s="49" t="s">
        <v>468</v>
      </c>
      <c r="H74" s="150" t="s">
        <v>308</v>
      </c>
      <c r="I74" s="150" t="s">
        <v>318</v>
      </c>
      <c r="J74" s="150" t="s">
        <v>278</v>
      </c>
      <c r="K74" s="166" t="s">
        <v>725</v>
      </c>
      <c r="L74" s="150" t="s">
        <v>699</v>
      </c>
      <c r="M74" s="150" t="s">
        <v>569</v>
      </c>
      <c r="N74" s="98">
        <f>1505614.55/1000</f>
        <v>1505.61455</v>
      </c>
      <c r="O74" s="98">
        <f>1505614.55/1000</f>
        <v>1505.61455</v>
      </c>
      <c r="P74" s="108">
        <v>1425</v>
      </c>
      <c r="Q74" s="98">
        <f t="shared" si="9"/>
        <v>1510.5</v>
      </c>
      <c r="R74" s="112">
        <f t="shared" si="10"/>
        <v>1599.6195</v>
      </c>
      <c r="S74" s="112">
        <f t="shared" si="11"/>
        <v>1682.799714</v>
      </c>
    </row>
    <row r="75" spans="1:19" s="3" customFormat="1" ht="31.5" customHeight="1">
      <c r="A75" s="174"/>
      <c r="B75" s="173"/>
      <c r="C75" s="13"/>
      <c r="D75" s="90" t="s">
        <v>35</v>
      </c>
      <c r="E75" s="160" t="s">
        <v>81</v>
      </c>
      <c r="F75" s="160" t="s">
        <v>97</v>
      </c>
      <c r="G75" s="160" t="s">
        <v>82</v>
      </c>
      <c r="H75" s="160"/>
      <c r="I75" s="160"/>
      <c r="J75" s="160"/>
      <c r="K75" s="166"/>
      <c r="L75" s="160"/>
      <c r="M75" s="160"/>
      <c r="N75" s="99">
        <f>8688548.3/1000</f>
        <v>8688.5483</v>
      </c>
      <c r="O75" s="99">
        <f>8688519.42/1000</f>
        <v>8688.51942</v>
      </c>
      <c r="P75" s="114">
        <v>5323</v>
      </c>
      <c r="Q75" s="99">
        <f t="shared" si="9"/>
        <v>5642.38</v>
      </c>
      <c r="R75" s="115">
        <f t="shared" si="10"/>
        <v>5975.28042</v>
      </c>
      <c r="S75" s="115">
        <f t="shared" si="11"/>
        <v>6285.99500184</v>
      </c>
    </row>
    <row r="76" spans="1:19" s="3" customFormat="1" ht="31.5" customHeight="1">
      <c r="A76" s="174"/>
      <c r="B76" s="173"/>
      <c r="C76" s="13"/>
      <c r="D76" s="92" t="s">
        <v>35</v>
      </c>
      <c r="E76" s="151"/>
      <c r="F76" s="151"/>
      <c r="G76" s="151"/>
      <c r="H76" s="151"/>
      <c r="I76" s="151"/>
      <c r="J76" s="151"/>
      <c r="K76" s="166"/>
      <c r="L76" s="151"/>
      <c r="M76" s="151"/>
      <c r="N76" s="109">
        <f>577798.86/1000</f>
        <v>577.79886</v>
      </c>
      <c r="O76" s="109">
        <f>577798.86/1000</f>
        <v>577.79886</v>
      </c>
      <c r="P76" s="110">
        <f>450000/1000</f>
        <v>450</v>
      </c>
      <c r="Q76" s="109">
        <f t="shared" si="9"/>
        <v>477</v>
      </c>
      <c r="R76" s="113">
        <f t="shared" si="10"/>
        <v>505.143</v>
      </c>
      <c r="S76" s="113">
        <f t="shared" si="11"/>
        <v>531.410436</v>
      </c>
    </row>
    <row r="77" spans="1:19" s="3" customFormat="1" ht="50.25" customHeight="1">
      <c r="A77" s="81"/>
      <c r="B77" s="12" t="s">
        <v>445</v>
      </c>
      <c r="C77" s="13"/>
      <c r="D77" s="88" t="s">
        <v>35</v>
      </c>
      <c r="E77" s="49" t="s">
        <v>466</v>
      </c>
      <c r="F77" s="49" t="s">
        <v>804</v>
      </c>
      <c r="G77" s="49" t="s">
        <v>468</v>
      </c>
      <c r="H77" s="8"/>
      <c r="I77" s="8"/>
      <c r="J77" s="8"/>
      <c r="K77" s="8" t="s">
        <v>326</v>
      </c>
      <c r="L77" s="8" t="s">
        <v>431</v>
      </c>
      <c r="M77" s="8" t="s">
        <v>327</v>
      </c>
      <c r="N77" s="96">
        <v>0</v>
      </c>
      <c r="O77" s="96">
        <v>0</v>
      </c>
      <c r="P77" s="96">
        <f>(62000-53000)/1000</f>
        <v>9</v>
      </c>
      <c r="Q77" s="96">
        <f t="shared" si="9"/>
        <v>9.540000000000001</v>
      </c>
      <c r="R77" s="103">
        <f t="shared" si="10"/>
        <v>10.10286</v>
      </c>
      <c r="S77" s="103">
        <f t="shared" si="11"/>
        <v>10.62820872</v>
      </c>
    </row>
    <row r="78" spans="1:19" s="3" customFormat="1" ht="71.25" customHeight="1">
      <c r="A78" s="81"/>
      <c r="B78" s="12" t="s">
        <v>426</v>
      </c>
      <c r="C78" s="13"/>
      <c r="D78" s="88" t="s">
        <v>35</v>
      </c>
      <c r="E78" s="49" t="s">
        <v>466</v>
      </c>
      <c r="F78" s="49" t="s">
        <v>804</v>
      </c>
      <c r="G78" s="49" t="s">
        <v>468</v>
      </c>
      <c r="H78" s="8"/>
      <c r="I78" s="8"/>
      <c r="J78" s="8"/>
      <c r="K78" s="8" t="s">
        <v>474</v>
      </c>
      <c r="L78" s="8" t="s">
        <v>431</v>
      </c>
      <c r="M78" s="8" t="s">
        <v>307</v>
      </c>
      <c r="N78" s="96">
        <f>96215/1000</f>
        <v>96.215</v>
      </c>
      <c r="O78" s="96">
        <f>96215/1000</f>
        <v>96.215</v>
      </c>
      <c r="P78" s="96">
        <f>182000/1000</f>
        <v>182</v>
      </c>
      <c r="Q78" s="96">
        <f t="shared" si="9"/>
        <v>192.92000000000002</v>
      </c>
      <c r="R78" s="103">
        <f t="shared" si="10"/>
        <v>204.30228</v>
      </c>
      <c r="S78" s="103">
        <f t="shared" si="11"/>
        <v>214.92599856</v>
      </c>
    </row>
    <row r="79" spans="1:19" s="3" customFormat="1" ht="96" customHeight="1">
      <c r="A79" s="81"/>
      <c r="B79" s="12" t="s">
        <v>271</v>
      </c>
      <c r="C79" s="13"/>
      <c r="D79" s="88" t="s">
        <v>35</v>
      </c>
      <c r="E79" s="8" t="s">
        <v>466</v>
      </c>
      <c r="F79" s="8" t="s">
        <v>467</v>
      </c>
      <c r="G79" s="8" t="s">
        <v>468</v>
      </c>
      <c r="H79" s="8" t="s">
        <v>216</v>
      </c>
      <c r="I79" s="8" t="s">
        <v>217</v>
      </c>
      <c r="J79" s="8" t="s">
        <v>293</v>
      </c>
      <c r="K79" s="8" t="s">
        <v>371</v>
      </c>
      <c r="L79" s="8" t="s">
        <v>431</v>
      </c>
      <c r="M79" s="11" t="s">
        <v>213</v>
      </c>
      <c r="N79" s="96">
        <f>3328000/1000</f>
        <v>3328</v>
      </c>
      <c r="O79" s="96">
        <f>3327593/1000</f>
        <v>3327.593</v>
      </c>
      <c r="P79" s="96">
        <f>3563000/1000</f>
        <v>3563</v>
      </c>
      <c r="Q79" s="96">
        <f>3563000/1000</f>
        <v>3563</v>
      </c>
      <c r="R79" s="103">
        <f>3563000/1000</f>
        <v>3563</v>
      </c>
      <c r="S79" s="103">
        <f>3563000/1000</f>
        <v>3563</v>
      </c>
    </row>
    <row r="80" spans="1:19" s="3" customFormat="1" ht="161.25" customHeight="1">
      <c r="A80" s="81"/>
      <c r="B80" s="12" t="s">
        <v>433</v>
      </c>
      <c r="C80" s="13"/>
      <c r="D80" s="88" t="s">
        <v>35</v>
      </c>
      <c r="E80" s="8" t="s">
        <v>466</v>
      </c>
      <c r="F80" s="8" t="s">
        <v>134</v>
      </c>
      <c r="G80" s="8" t="s">
        <v>468</v>
      </c>
      <c r="H80" s="8" t="s">
        <v>308</v>
      </c>
      <c r="I80" s="8" t="s">
        <v>318</v>
      </c>
      <c r="J80" s="8" t="s">
        <v>278</v>
      </c>
      <c r="K80" s="8" t="s">
        <v>735</v>
      </c>
      <c r="L80" s="8" t="s">
        <v>171</v>
      </c>
      <c r="M80" s="11" t="s">
        <v>172</v>
      </c>
      <c r="N80" s="96">
        <f>7000000/1000</f>
        <v>7000</v>
      </c>
      <c r="O80" s="96">
        <f>7000000/1000</f>
        <v>7000</v>
      </c>
      <c r="P80" s="96">
        <v>0</v>
      </c>
      <c r="Q80" s="100">
        <v>0</v>
      </c>
      <c r="R80" s="100">
        <v>0</v>
      </c>
      <c r="S80" s="100">
        <v>0</v>
      </c>
    </row>
    <row r="81" spans="1:19" s="3" customFormat="1" ht="64.5" customHeight="1">
      <c r="A81" s="81"/>
      <c r="B81" s="12" t="s">
        <v>200</v>
      </c>
      <c r="C81" s="13"/>
      <c r="D81" s="88" t="s">
        <v>35</v>
      </c>
      <c r="E81" s="8" t="s">
        <v>466</v>
      </c>
      <c r="F81" s="8" t="s">
        <v>134</v>
      </c>
      <c r="G81" s="8" t="s">
        <v>468</v>
      </c>
      <c r="H81" s="8" t="s">
        <v>308</v>
      </c>
      <c r="I81" s="8" t="s">
        <v>318</v>
      </c>
      <c r="J81" s="8" t="s">
        <v>278</v>
      </c>
      <c r="K81" s="8" t="s">
        <v>280</v>
      </c>
      <c r="L81" s="8" t="s">
        <v>281</v>
      </c>
      <c r="M81" s="11" t="s">
        <v>80</v>
      </c>
      <c r="N81" s="96">
        <f>(29558283.61+1143000+120000+41900)/1000</f>
        <v>30863.18361</v>
      </c>
      <c r="O81" s="96">
        <f>(29558027.94+1143000+120000+41320)/1000</f>
        <v>30862.34794</v>
      </c>
      <c r="P81" s="96">
        <f>35384340/1000</f>
        <v>35384.34</v>
      </c>
      <c r="Q81" s="96">
        <v>38354.9</v>
      </c>
      <c r="R81" s="103">
        <v>40617.8</v>
      </c>
      <c r="S81" s="103">
        <v>42729.9</v>
      </c>
    </row>
    <row r="82" spans="1:19" s="3" customFormat="1" ht="87.75" customHeight="1">
      <c r="A82" s="81"/>
      <c r="B82" s="12" t="s">
        <v>29</v>
      </c>
      <c r="C82" s="13"/>
      <c r="D82" s="88" t="s">
        <v>35</v>
      </c>
      <c r="E82" s="8" t="s">
        <v>466</v>
      </c>
      <c r="F82" s="8" t="s">
        <v>467</v>
      </c>
      <c r="G82" s="8" t="s">
        <v>468</v>
      </c>
      <c r="H82" s="8" t="s">
        <v>777</v>
      </c>
      <c r="I82" s="8" t="s">
        <v>778</v>
      </c>
      <c r="J82" s="8" t="s">
        <v>779</v>
      </c>
      <c r="K82" s="8" t="s">
        <v>736</v>
      </c>
      <c r="L82" s="8" t="s">
        <v>431</v>
      </c>
      <c r="M82" s="11" t="s">
        <v>213</v>
      </c>
      <c r="N82" s="96">
        <f>3640894/1000</f>
        <v>3640.894</v>
      </c>
      <c r="O82" s="96">
        <f>3636134.33/1000</f>
        <v>3636.13433</v>
      </c>
      <c r="P82" s="96">
        <f>3882000/1000</f>
        <v>3882</v>
      </c>
      <c r="Q82" s="96">
        <f>P82*1.06</f>
        <v>4114.92</v>
      </c>
      <c r="R82" s="103">
        <f>Q82*1.059</f>
        <v>4357.70028</v>
      </c>
      <c r="S82" s="103">
        <f>R82*1.052</f>
        <v>4584.30069456</v>
      </c>
    </row>
    <row r="83" spans="1:19" s="3" customFormat="1" ht="98.25" customHeight="1">
      <c r="A83" s="81"/>
      <c r="B83" s="12" t="s">
        <v>517</v>
      </c>
      <c r="C83" s="13"/>
      <c r="D83" s="88" t="s">
        <v>35</v>
      </c>
      <c r="E83" s="8" t="s">
        <v>466</v>
      </c>
      <c r="F83" s="8" t="s">
        <v>467</v>
      </c>
      <c r="G83" s="8" t="s">
        <v>468</v>
      </c>
      <c r="H83" s="51" t="s">
        <v>805</v>
      </c>
      <c r="I83" s="51" t="s">
        <v>806</v>
      </c>
      <c r="J83" s="54" t="s">
        <v>741</v>
      </c>
      <c r="K83" s="8" t="s">
        <v>725</v>
      </c>
      <c r="L83" s="8" t="s">
        <v>699</v>
      </c>
      <c r="M83" s="11" t="s">
        <v>569</v>
      </c>
      <c r="N83" s="96">
        <v>0</v>
      </c>
      <c r="O83" s="96">
        <v>0</v>
      </c>
      <c r="P83" s="96">
        <f>378000/1000</f>
        <v>378</v>
      </c>
      <c r="Q83" s="96">
        <v>0</v>
      </c>
      <c r="R83" s="103">
        <v>0</v>
      </c>
      <c r="S83" s="103">
        <v>0</v>
      </c>
    </row>
    <row r="84" spans="1:19" s="3" customFormat="1" ht="112.5" customHeight="1">
      <c r="A84" s="81"/>
      <c r="B84" s="12" t="s">
        <v>156</v>
      </c>
      <c r="C84" s="13"/>
      <c r="D84" s="88" t="s">
        <v>35</v>
      </c>
      <c r="E84" s="8" t="s">
        <v>466</v>
      </c>
      <c r="F84" s="8" t="s">
        <v>467</v>
      </c>
      <c r="G84" s="8" t="s">
        <v>468</v>
      </c>
      <c r="H84" s="8" t="s">
        <v>807</v>
      </c>
      <c r="I84" s="8" t="s">
        <v>194</v>
      </c>
      <c r="J84" s="8" t="s">
        <v>808</v>
      </c>
      <c r="K84" s="75" t="s">
        <v>707</v>
      </c>
      <c r="L84" s="62" t="s">
        <v>347</v>
      </c>
      <c r="M84" s="62" t="s">
        <v>708</v>
      </c>
      <c r="N84" s="96">
        <f>16211000/1000</f>
        <v>16211</v>
      </c>
      <c r="O84" s="96">
        <f>16210531/1000</f>
        <v>16210.531</v>
      </c>
      <c r="P84" s="96">
        <f>18255800/1000</f>
        <v>18255.8</v>
      </c>
      <c r="Q84" s="100">
        <v>0</v>
      </c>
      <c r="R84" s="100">
        <v>0</v>
      </c>
      <c r="S84" s="100">
        <v>0</v>
      </c>
    </row>
    <row r="85" spans="1:19" s="3" customFormat="1" ht="111" customHeight="1">
      <c r="A85" s="81"/>
      <c r="B85" s="12" t="s">
        <v>381</v>
      </c>
      <c r="C85" s="13"/>
      <c r="D85" s="88" t="s">
        <v>35</v>
      </c>
      <c r="E85" s="8" t="s">
        <v>466</v>
      </c>
      <c r="F85" s="8" t="s">
        <v>467</v>
      </c>
      <c r="G85" s="8" t="s">
        <v>468</v>
      </c>
      <c r="H85" s="8" t="s">
        <v>809</v>
      </c>
      <c r="I85" s="8" t="s">
        <v>431</v>
      </c>
      <c r="J85" s="8" t="s">
        <v>810</v>
      </c>
      <c r="K85" s="8" t="s">
        <v>382</v>
      </c>
      <c r="L85" s="8" t="s">
        <v>136</v>
      </c>
      <c r="M85" s="11" t="s">
        <v>383</v>
      </c>
      <c r="N85" s="96">
        <f>(60000+45950)/1000</f>
        <v>105.95</v>
      </c>
      <c r="O85" s="96">
        <f>(60000+45950)/1000</f>
        <v>105.95</v>
      </c>
      <c r="P85" s="96">
        <v>0</v>
      </c>
      <c r="Q85" s="100">
        <v>0</v>
      </c>
      <c r="R85" s="100">
        <v>0</v>
      </c>
      <c r="S85" s="100">
        <v>0</v>
      </c>
    </row>
    <row r="86" spans="1:19" s="3" customFormat="1" ht="111.75" customHeight="1">
      <c r="A86" s="81"/>
      <c r="B86" s="12" t="s">
        <v>6</v>
      </c>
      <c r="C86" s="13"/>
      <c r="D86" s="88" t="s">
        <v>35</v>
      </c>
      <c r="E86" s="8" t="s">
        <v>466</v>
      </c>
      <c r="F86" s="8" t="s">
        <v>467</v>
      </c>
      <c r="G86" s="8" t="s">
        <v>468</v>
      </c>
      <c r="H86" s="8" t="s">
        <v>811</v>
      </c>
      <c r="I86" s="8" t="s">
        <v>30</v>
      </c>
      <c r="J86" s="8" t="s">
        <v>812</v>
      </c>
      <c r="K86" s="8" t="s">
        <v>7</v>
      </c>
      <c r="L86" s="8" t="s">
        <v>576</v>
      </c>
      <c r="M86" s="11" t="s">
        <v>577</v>
      </c>
      <c r="N86" s="96">
        <f>2363980/1000</f>
        <v>2363.98</v>
      </c>
      <c r="O86" s="96">
        <f>2360682/1000</f>
        <v>2360.682</v>
      </c>
      <c r="P86" s="96">
        <v>0</v>
      </c>
      <c r="Q86" s="100">
        <v>0</v>
      </c>
      <c r="R86" s="100">
        <v>0</v>
      </c>
      <c r="S86" s="100">
        <v>0</v>
      </c>
    </row>
    <row r="87" spans="1:19" s="3" customFormat="1" ht="65.25" customHeight="1">
      <c r="A87" s="81"/>
      <c r="B87" s="12" t="s">
        <v>178</v>
      </c>
      <c r="C87" s="13"/>
      <c r="D87" s="88" t="s">
        <v>251</v>
      </c>
      <c r="E87" s="8" t="s">
        <v>81</v>
      </c>
      <c r="F87" s="8" t="s">
        <v>469</v>
      </c>
      <c r="G87" s="8" t="s">
        <v>82</v>
      </c>
      <c r="H87" s="8"/>
      <c r="I87" s="8"/>
      <c r="J87" s="8"/>
      <c r="K87" s="8" t="s">
        <v>737</v>
      </c>
      <c r="L87" s="8" t="s">
        <v>431</v>
      </c>
      <c r="M87" s="11" t="s">
        <v>442</v>
      </c>
      <c r="N87" s="96">
        <f>14040/1000</f>
        <v>14.04</v>
      </c>
      <c r="O87" s="96">
        <f>14040/1000</f>
        <v>14.04</v>
      </c>
      <c r="P87" s="96">
        <v>16.4</v>
      </c>
      <c r="Q87" s="96">
        <v>16.3</v>
      </c>
      <c r="R87" s="103">
        <v>17.8</v>
      </c>
      <c r="S87" s="103">
        <v>19.3</v>
      </c>
    </row>
    <row r="88" spans="1:19" s="3" customFormat="1" ht="135.75" customHeight="1">
      <c r="A88" s="81"/>
      <c r="B88" s="12" t="s">
        <v>384</v>
      </c>
      <c r="C88" s="13"/>
      <c r="D88" s="88" t="s">
        <v>251</v>
      </c>
      <c r="E88" s="8" t="s">
        <v>81</v>
      </c>
      <c r="F88" s="8" t="s">
        <v>469</v>
      </c>
      <c r="G88" s="8" t="s">
        <v>82</v>
      </c>
      <c r="H88" s="8" t="s">
        <v>777</v>
      </c>
      <c r="I88" s="8" t="s">
        <v>813</v>
      </c>
      <c r="J88" s="8" t="s">
        <v>779</v>
      </c>
      <c r="K88" s="8" t="s">
        <v>925</v>
      </c>
      <c r="L88" s="8" t="s">
        <v>329</v>
      </c>
      <c r="M88" s="11" t="s">
        <v>330</v>
      </c>
      <c r="N88" s="96">
        <f>2960300/1000</f>
        <v>2960.3</v>
      </c>
      <c r="O88" s="96">
        <f>2957646/1000</f>
        <v>2957.646</v>
      </c>
      <c r="P88" s="96">
        <f>3134900/1000</f>
        <v>3134.9</v>
      </c>
      <c r="Q88" s="96">
        <f>3135000/1000</f>
        <v>3135</v>
      </c>
      <c r="R88" s="96">
        <f>3135000/1000</f>
        <v>3135</v>
      </c>
      <c r="S88" s="96">
        <f>3135000/1000</f>
        <v>3135</v>
      </c>
    </row>
    <row r="89" spans="1:19" s="3" customFormat="1" ht="98.25" customHeight="1">
      <c r="A89" s="81"/>
      <c r="B89" s="12" t="s">
        <v>209</v>
      </c>
      <c r="C89" s="13"/>
      <c r="D89" s="88" t="s">
        <v>16</v>
      </c>
      <c r="E89" s="8" t="s">
        <v>814</v>
      </c>
      <c r="F89" s="8" t="s">
        <v>136</v>
      </c>
      <c r="G89" s="8" t="s">
        <v>815</v>
      </c>
      <c r="H89" s="8"/>
      <c r="I89" s="8"/>
      <c r="J89" s="8"/>
      <c r="K89" s="8" t="s">
        <v>14</v>
      </c>
      <c r="L89" s="8" t="s">
        <v>136</v>
      </c>
      <c r="M89" s="8" t="s">
        <v>15</v>
      </c>
      <c r="N89" s="96">
        <f>69460/1000</f>
        <v>69.46</v>
      </c>
      <c r="O89" s="96">
        <f>69433.9/1000</f>
        <v>69.4339</v>
      </c>
      <c r="P89" s="96">
        <f>22000/1000</f>
        <v>22</v>
      </c>
      <c r="Q89" s="96">
        <v>23.3</v>
      </c>
      <c r="R89" s="97">
        <v>24.7</v>
      </c>
      <c r="S89" s="97">
        <v>26</v>
      </c>
    </row>
    <row r="90" spans="1:19" s="3" customFormat="1" ht="98.25" customHeight="1">
      <c r="A90" s="81"/>
      <c r="B90" s="12" t="s">
        <v>916</v>
      </c>
      <c r="C90" s="13"/>
      <c r="D90" s="88" t="s">
        <v>386</v>
      </c>
      <c r="E90" s="8" t="s">
        <v>81</v>
      </c>
      <c r="F90" s="8" t="s">
        <v>28</v>
      </c>
      <c r="G90" s="8" t="s">
        <v>82</v>
      </c>
      <c r="H90" s="8" t="s">
        <v>308</v>
      </c>
      <c r="I90" s="8" t="s">
        <v>318</v>
      </c>
      <c r="J90" s="8" t="s">
        <v>278</v>
      </c>
      <c r="K90" s="8" t="s">
        <v>725</v>
      </c>
      <c r="L90" s="8" t="s">
        <v>699</v>
      </c>
      <c r="M90" s="11" t="s">
        <v>569</v>
      </c>
      <c r="N90" s="96"/>
      <c r="O90" s="96"/>
      <c r="P90" s="96">
        <f>99000/1000</f>
        <v>99</v>
      </c>
      <c r="Q90" s="96"/>
      <c r="R90" s="97"/>
      <c r="S90" s="97"/>
    </row>
    <row r="91" spans="1:19" s="3" customFormat="1" ht="98.25" customHeight="1">
      <c r="A91" s="81"/>
      <c r="B91" s="12" t="s">
        <v>917</v>
      </c>
      <c r="C91" s="13"/>
      <c r="D91" s="88" t="s">
        <v>35</v>
      </c>
      <c r="E91" s="8" t="s">
        <v>81</v>
      </c>
      <c r="F91" s="8" t="s">
        <v>918</v>
      </c>
      <c r="G91" s="8" t="s">
        <v>82</v>
      </c>
      <c r="H91" s="8" t="s">
        <v>308</v>
      </c>
      <c r="I91" s="8" t="s">
        <v>839</v>
      </c>
      <c r="J91" s="8" t="s">
        <v>278</v>
      </c>
      <c r="K91" s="8" t="s">
        <v>725</v>
      </c>
      <c r="L91" s="8" t="s">
        <v>699</v>
      </c>
      <c r="M91" s="11" t="s">
        <v>569</v>
      </c>
      <c r="N91" s="96"/>
      <c r="O91" s="96"/>
      <c r="P91" s="96">
        <f>151000/1000</f>
        <v>151</v>
      </c>
      <c r="Q91" s="96"/>
      <c r="R91" s="97"/>
      <c r="S91" s="97"/>
    </row>
    <row r="92" spans="1:19" s="3" customFormat="1" ht="65.25" customHeight="1">
      <c r="A92" s="81"/>
      <c r="B92" s="12" t="s">
        <v>919</v>
      </c>
      <c r="C92" s="13"/>
      <c r="D92" s="88" t="s">
        <v>386</v>
      </c>
      <c r="E92" s="8" t="s">
        <v>81</v>
      </c>
      <c r="F92" s="8" t="s">
        <v>921</v>
      </c>
      <c r="G92" s="8" t="s">
        <v>82</v>
      </c>
      <c r="H92" s="8" t="s">
        <v>920</v>
      </c>
      <c r="I92" s="8" t="s">
        <v>431</v>
      </c>
      <c r="J92" s="8" t="s">
        <v>708</v>
      </c>
      <c r="K92" s="131" t="s">
        <v>923</v>
      </c>
      <c r="L92" s="62" t="s">
        <v>173</v>
      </c>
      <c r="M92" s="62" t="s">
        <v>922</v>
      </c>
      <c r="N92" s="96"/>
      <c r="O92" s="96"/>
      <c r="P92" s="96">
        <f>2291000/1000</f>
        <v>2291</v>
      </c>
      <c r="Q92" s="96"/>
      <c r="R92" s="97"/>
      <c r="S92" s="97"/>
    </row>
    <row r="93" spans="1:19" s="3" customFormat="1" ht="160.5" customHeight="1">
      <c r="A93" s="81"/>
      <c r="B93" s="64" t="s">
        <v>643</v>
      </c>
      <c r="C93" s="13"/>
      <c r="D93" s="88" t="s">
        <v>35</v>
      </c>
      <c r="E93" s="8" t="s">
        <v>81</v>
      </c>
      <c r="F93" s="8" t="s">
        <v>28</v>
      </c>
      <c r="G93" s="8" t="s">
        <v>82</v>
      </c>
      <c r="H93" s="8" t="s">
        <v>816</v>
      </c>
      <c r="I93" s="8" t="s">
        <v>511</v>
      </c>
      <c r="J93" s="8" t="s">
        <v>646</v>
      </c>
      <c r="K93" s="62" t="s">
        <v>644</v>
      </c>
      <c r="L93" s="62" t="s">
        <v>645</v>
      </c>
      <c r="M93" s="62" t="s">
        <v>646</v>
      </c>
      <c r="N93" s="96">
        <f>2114900/1000</f>
        <v>2114.9</v>
      </c>
      <c r="O93" s="96">
        <f>2114900/1000</f>
        <v>2114.9</v>
      </c>
      <c r="P93" s="96"/>
      <c r="Q93" s="96"/>
      <c r="R93" s="97"/>
      <c r="S93" s="97"/>
    </row>
    <row r="94" spans="1:19" s="3" customFormat="1" ht="54.75" customHeight="1">
      <c r="A94" s="154"/>
      <c r="B94" s="171" t="s">
        <v>650</v>
      </c>
      <c r="C94" s="13"/>
      <c r="D94" s="158" t="s">
        <v>35</v>
      </c>
      <c r="E94" s="150" t="s">
        <v>81</v>
      </c>
      <c r="F94" s="150" t="s">
        <v>28</v>
      </c>
      <c r="G94" s="150" t="s">
        <v>82</v>
      </c>
      <c r="H94" s="150" t="s">
        <v>308</v>
      </c>
      <c r="I94" s="150" t="s">
        <v>318</v>
      </c>
      <c r="J94" s="150" t="s">
        <v>278</v>
      </c>
      <c r="K94" s="148" t="s">
        <v>738</v>
      </c>
      <c r="L94" s="148" t="s">
        <v>699</v>
      </c>
      <c r="M94" s="148" t="s">
        <v>569</v>
      </c>
      <c r="N94" s="98">
        <f>113500/1000</f>
        <v>113.5</v>
      </c>
      <c r="O94" s="98">
        <f>113500/1000</f>
        <v>113.5</v>
      </c>
      <c r="P94" s="98"/>
      <c r="Q94" s="98"/>
      <c r="R94" s="102"/>
      <c r="S94" s="102"/>
    </row>
    <row r="95" spans="1:19" s="3" customFormat="1" ht="54.75" customHeight="1">
      <c r="A95" s="155"/>
      <c r="B95" s="172"/>
      <c r="C95" s="13"/>
      <c r="D95" s="159"/>
      <c r="E95" s="151"/>
      <c r="F95" s="151"/>
      <c r="G95" s="151"/>
      <c r="H95" s="151"/>
      <c r="I95" s="151"/>
      <c r="J95" s="151"/>
      <c r="K95" s="149"/>
      <c r="L95" s="149"/>
      <c r="M95" s="149"/>
      <c r="N95" s="109">
        <f>32000/1000</f>
        <v>32</v>
      </c>
      <c r="O95" s="109">
        <f>32000/1000</f>
        <v>32</v>
      </c>
      <c r="P95" s="109"/>
      <c r="Q95" s="109"/>
      <c r="R95" s="111"/>
      <c r="S95" s="111"/>
    </row>
    <row r="96" spans="1:19" s="3" customFormat="1" ht="114" customHeight="1">
      <c r="A96" s="84"/>
      <c r="B96" s="63" t="s">
        <v>652</v>
      </c>
      <c r="C96" s="13"/>
      <c r="D96" s="92" t="s">
        <v>35</v>
      </c>
      <c r="E96" s="8" t="s">
        <v>466</v>
      </c>
      <c r="F96" s="8" t="s">
        <v>467</v>
      </c>
      <c r="G96" s="8" t="s">
        <v>468</v>
      </c>
      <c r="H96" s="8" t="s">
        <v>308</v>
      </c>
      <c r="I96" s="8" t="s">
        <v>318</v>
      </c>
      <c r="J96" s="8" t="s">
        <v>278</v>
      </c>
      <c r="K96" s="62" t="s">
        <v>739</v>
      </c>
      <c r="L96" s="62" t="s">
        <v>699</v>
      </c>
      <c r="M96" s="62" t="s">
        <v>569</v>
      </c>
      <c r="N96" s="109">
        <f>124840/1000</f>
        <v>124.84</v>
      </c>
      <c r="O96" s="109">
        <f>124840/1000</f>
        <v>124.84</v>
      </c>
      <c r="P96" s="109"/>
      <c r="Q96" s="109"/>
      <c r="R96" s="111"/>
      <c r="S96" s="111"/>
    </row>
    <row r="97" spans="1:19" s="3" customFormat="1" ht="110.25" customHeight="1">
      <c r="A97" s="84"/>
      <c r="B97" s="63" t="s">
        <v>651</v>
      </c>
      <c r="C97" s="13"/>
      <c r="D97" s="92" t="s">
        <v>35</v>
      </c>
      <c r="E97" s="8" t="s">
        <v>466</v>
      </c>
      <c r="F97" s="8" t="s">
        <v>467</v>
      </c>
      <c r="G97" s="8" t="s">
        <v>468</v>
      </c>
      <c r="H97" s="8" t="s">
        <v>308</v>
      </c>
      <c r="I97" s="8" t="s">
        <v>318</v>
      </c>
      <c r="J97" s="8" t="s">
        <v>278</v>
      </c>
      <c r="K97" s="62" t="s">
        <v>739</v>
      </c>
      <c r="L97" s="62" t="s">
        <v>699</v>
      </c>
      <c r="M97" s="62" t="s">
        <v>569</v>
      </c>
      <c r="N97" s="109">
        <f>52774/1000</f>
        <v>52.774</v>
      </c>
      <c r="O97" s="109">
        <f>52774/1000</f>
        <v>52.774</v>
      </c>
      <c r="P97" s="109"/>
      <c r="Q97" s="109"/>
      <c r="R97" s="111"/>
      <c r="S97" s="111"/>
    </row>
    <row r="98" spans="1:19" s="3" customFormat="1" ht="92.25" customHeight="1" hidden="1">
      <c r="A98" s="132"/>
      <c r="B98" s="135" t="s">
        <v>946</v>
      </c>
      <c r="C98" s="47"/>
      <c r="D98" s="90" t="s">
        <v>386</v>
      </c>
      <c r="E98" s="49" t="s">
        <v>81</v>
      </c>
      <c r="F98" s="49" t="s">
        <v>469</v>
      </c>
      <c r="G98" s="49" t="s">
        <v>82</v>
      </c>
      <c r="H98" s="49" t="s">
        <v>777</v>
      </c>
      <c r="I98" s="49" t="s">
        <v>947</v>
      </c>
      <c r="J98" s="49" t="s">
        <v>779</v>
      </c>
      <c r="K98" s="134" t="s">
        <v>948</v>
      </c>
      <c r="L98" s="72" t="s">
        <v>431</v>
      </c>
      <c r="M98" s="72" t="s">
        <v>949</v>
      </c>
      <c r="N98" s="99">
        <v>0</v>
      </c>
      <c r="O98" s="99">
        <v>0</v>
      </c>
      <c r="P98" s="99">
        <v>0</v>
      </c>
      <c r="Q98" s="99">
        <v>0</v>
      </c>
      <c r="R98" s="133">
        <v>0</v>
      </c>
      <c r="S98" s="133">
        <v>0</v>
      </c>
    </row>
    <row r="99" spans="1:19" s="3" customFormat="1" ht="84.75" customHeight="1" hidden="1">
      <c r="A99" s="81"/>
      <c r="B99" s="64" t="s">
        <v>950</v>
      </c>
      <c r="C99" s="13"/>
      <c r="D99" s="88" t="s">
        <v>35</v>
      </c>
      <c r="E99" s="49" t="s">
        <v>81</v>
      </c>
      <c r="F99" s="49" t="s">
        <v>469</v>
      </c>
      <c r="G99" s="49" t="s">
        <v>82</v>
      </c>
      <c r="H99" s="8" t="s">
        <v>951</v>
      </c>
      <c r="I99" s="8" t="s">
        <v>952</v>
      </c>
      <c r="J99" s="8" t="s">
        <v>953</v>
      </c>
      <c r="K99" s="134" t="s">
        <v>948</v>
      </c>
      <c r="L99" s="72" t="s">
        <v>431</v>
      </c>
      <c r="M99" s="72" t="s">
        <v>949</v>
      </c>
      <c r="N99" s="96">
        <v>0</v>
      </c>
      <c r="O99" s="96">
        <v>0</v>
      </c>
      <c r="P99" s="96">
        <v>0</v>
      </c>
      <c r="Q99" s="96">
        <v>0</v>
      </c>
      <c r="R99" s="97">
        <v>0</v>
      </c>
      <c r="S99" s="97">
        <v>0</v>
      </c>
    </row>
    <row r="100" spans="1:19" s="3" customFormat="1" ht="108" customHeight="1" hidden="1">
      <c r="A100" s="81"/>
      <c r="B100" s="64" t="s">
        <v>954</v>
      </c>
      <c r="C100" s="13"/>
      <c r="D100" s="88" t="s">
        <v>35</v>
      </c>
      <c r="E100" s="8" t="s">
        <v>466</v>
      </c>
      <c r="F100" s="8" t="s">
        <v>467</v>
      </c>
      <c r="G100" s="8" t="s">
        <v>468</v>
      </c>
      <c r="H100" s="8" t="s">
        <v>308</v>
      </c>
      <c r="I100" s="8" t="s">
        <v>318</v>
      </c>
      <c r="J100" s="8" t="s">
        <v>278</v>
      </c>
      <c r="K100" s="62" t="s">
        <v>738</v>
      </c>
      <c r="L100" s="62" t="s">
        <v>699</v>
      </c>
      <c r="M100" s="62" t="s">
        <v>569</v>
      </c>
      <c r="N100" s="137">
        <v>0</v>
      </c>
      <c r="O100" s="137">
        <v>0</v>
      </c>
      <c r="P100" s="137">
        <v>0</v>
      </c>
      <c r="Q100" s="96">
        <v>0</v>
      </c>
      <c r="R100" s="97">
        <v>0</v>
      </c>
      <c r="S100" s="97">
        <v>0</v>
      </c>
    </row>
    <row r="101" spans="1:19" s="3" customFormat="1" ht="92.25" customHeight="1" hidden="1">
      <c r="A101" s="81"/>
      <c r="B101" s="64" t="s">
        <v>955</v>
      </c>
      <c r="C101" s="13"/>
      <c r="D101" s="88" t="s">
        <v>35</v>
      </c>
      <c r="E101" s="49" t="s">
        <v>81</v>
      </c>
      <c r="F101" s="49" t="s">
        <v>469</v>
      </c>
      <c r="G101" s="49" t="s">
        <v>82</v>
      </c>
      <c r="H101" s="49" t="s">
        <v>777</v>
      </c>
      <c r="I101" s="49" t="s">
        <v>956</v>
      </c>
      <c r="J101" s="49" t="s">
        <v>779</v>
      </c>
      <c r="K101" s="75" t="s">
        <v>206</v>
      </c>
      <c r="L101" s="62"/>
      <c r="M101" s="62"/>
      <c r="N101" s="96">
        <v>0</v>
      </c>
      <c r="O101" s="96">
        <v>0</v>
      </c>
      <c r="P101" s="96">
        <v>0</v>
      </c>
      <c r="Q101" s="96">
        <v>0</v>
      </c>
      <c r="R101" s="97">
        <v>0</v>
      </c>
      <c r="S101" s="97">
        <v>0</v>
      </c>
    </row>
    <row r="102" spans="1:19" s="3" customFormat="1" ht="111.75" customHeight="1" hidden="1">
      <c r="A102" s="81"/>
      <c r="B102" s="64" t="s">
        <v>957</v>
      </c>
      <c r="C102" s="13"/>
      <c r="D102" s="88" t="s">
        <v>35</v>
      </c>
      <c r="E102" s="49" t="s">
        <v>81</v>
      </c>
      <c r="F102" s="49" t="s">
        <v>469</v>
      </c>
      <c r="G102" s="49" t="s">
        <v>82</v>
      </c>
      <c r="H102" s="8" t="s">
        <v>958</v>
      </c>
      <c r="I102" s="8" t="s">
        <v>30</v>
      </c>
      <c r="J102" s="8" t="s">
        <v>741</v>
      </c>
      <c r="K102" s="75" t="s">
        <v>959</v>
      </c>
      <c r="L102" s="62" t="s">
        <v>347</v>
      </c>
      <c r="M102" s="136" t="s">
        <v>741</v>
      </c>
      <c r="N102" s="96">
        <v>0</v>
      </c>
      <c r="O102" s="96">
        <v>0</v>
      </c>
      <c r="P102" s="96">
        <v>0</v>
      </c>
      <c r="Q102" s="96">
        <v>0</v>
      </c>
      <c r="R102" s="97">
        <v>0</v>
      </c>
      <c r="S102" s="97">
        <v>0</v>
      </c>
    </row>
    <row r="103" spans="1:19" s="2" customFormat="1" ht="95.25" customHeight="1">
      <c r="A103" s="80" t="s">
        <v>85</v>
      </c>
      <c r="B103" s="23" t="s">
        <v>394</v>
      </c>
      <c r="C103" s="21"/>
      <c r="D103" s="88"/>
      <c r="E103" s="8"/>
      <c r="F103" s="8"/>
      <c r="G103" s="8"/>
      <c r="H103" s="8"/>
      <c r="I103" s="8"/>
      <c r="J103" s="8"/>
      <c r="K103" s="44"/>
      <c r="L103" s="8"/>
      <c r="M103" s="8"/>
      <c r="N103" s="95">
        <f aca="true" t="shared" si="12" ref="N103:S103">SUM(N104:N127)</f>
        <v>76175.58214000001</v>
      </c>
      <c r="O103" s="95">
        <f t="shared" si="12"/>
        <v>76160.11214</v>
      </c>
      <c r="P103" s="95">
        <f t="shared" si="12"/>
        <v>77405.4709</v>
      </c>
      <c r="Q103" s="95">
        <f t="shared" si="12"/>
        <v>83610.9</v>
      </c>
      <c r="R103" s="95">
        <f t="shared" si="12"/>
        <v>88593</v>
      </c>
      <c r="S103" s="95">
        <f t="shared" si="12"/>
        <v>93148.4</v>
      </c>
    </row>
    <row r="104" spans="1:19" s="3" customFormat="1" ht="61.5" customHeight="1">
      <c r="A104" s="81"/>
      <c r="B104" s="76" t="s">
        <v>709</v>
      </c>
      <c r="C104" s="13"/>
      <c r="D104" s="88" t="s">
        <v>190</v>
      </c>
      <c r="E104" s="8" t="s">
        <v>81</v>
      </c>
      <c r="F104" s="8" t="s">
        <v>28</v>
      </c>
      <c r="G104" s="8" t="s">
        <v>82</v>
      </c>
      <c r="H104" s="8"/>
      <c r="I104" s="8"/>
      <c r="J104" s="8"/>
      <c r="K104" s="8" t="s">
        <v>710</v>
      </c>
      <c r="L104" s="8" t="s">
        <v>339</v>
      </c>
      <c r="M104" s="11" t="s">
        <v>584</v>
      </c>
      <c r="N104" s="96">
        <f>567500/1000</f>
        <v>567.5</v>
      </c>
      <c r="O104" s="96">
        <f>567350/1000</f>
        <v>567.35</v>
      </c>
      <c r="P104" s="96">
        <f>692000/1000</f>
        <v>692</v>
      </c>
      <c r="Q104" s="96">
        <f>761000/1000</f>
        <v>761</v>
      </c>
      <c r="R104" s="103">
        <v>805.1</v>
      </c>
      <c r="S104" s="103">
        <v>0</v>
      </c>
    </row>
    <row r="105" spans="1:19" s="3" customFormat="1" ht="12.75" customHeight="1">
      <c r="A105" s="174"/>
      <c r="B105" s="173" t="s">
        <v>70</v>
      </c>
      <c r="C105" s="13"/>
      <c r="D105" s="89" t="s">
        <v>190</v>
      </c>
      <c r="E105" s="150" t="s">
        <v>81</v>
      </c>
      <c r="F105" s="150" t="s">
        <v>28</v>
      </c>
      <c r="G105" s="150" t="s">
        <v>82</v>
      </c>
      <c r="H105" s="49"/>
      <c r="I105" s="49"/>
      <c r="J105" s="49"/>
      <c r="K105" s="150" t="s">
        <v>475</v>
      </c>
      <c r="L105" s="150" t="s">
        <v>84</v>
      </c>
      <c r="M105" s="163" t="s">
        <v>63</v>
      </c>
      <c r="N105" s="98">
        <f>22047273.14/1000</f>
        <v>22047.27314</v>
      </c>
      <c r="O105" s="98">
        <f>22043572.94/1000</f>
        <v>22043.572940000002</v>
      </c>
      <c r="P105" s="98">
        <f>28228370.9/1000</f>
        <v>28228.370899999998</v>
      </c>
      <c r="Q105" s="152">
        <v>82758.9</v>
      </c>
      <c r="R105" s="139">
        <v>87691.9</v>
      </c>
      <c r="S105" s="139">
        <v>93148.4</v>
      </c>
    </row>
    <row r="106" spans="1:19" s="3" customFormat="1" ht="12.75" customHeight="1">
      <c r="A106" s="174"/>
      <c r="B106" s="173"/>
      <c r="C106" s="13"/>
      <c r="D106" s="90" t="s">
        <v>447</v>
      </c>
      <c r="E106" s="160"/>
      <c r="F106" s="160"/>
      <c r="G106" s="160"/>
      <c r="H106" s="50"/>
      <c r="I106" s="50"/>
      <c r="J106" s="50"/>
      <c r="K106" s="160"/>
      <c r="L106" s="160"/>
      <c r="M106" s="164"/>
      <c r="N106" s="99">
        <f>(593203+113961.3)/1000</f>
        <v>707.1643</v>
      </c>
      <c r="O106" s="99">
        <f>(593134.16+113961.3)/1000</f>
        <v>707.0954600000001</v>
      </c>
      <c r="P106" s="99">
        <f>975300/1000</f>
        <v>975.3</v>
      </c>
      <c r="Q106" s="165"/>
      <c r="R106" s="140"/>
      <c r="S106" s="140"/>
    </row>
    <row r="107" spans="1:19" s="3" customFormat="1" ht="12.75" customHeight="1">
      <c r="A107" s="174"/>
      <c r="B107" s="173"/>
      <c r="C107" s="13"/>
      <c r="D107" s="183" t="s">
        <v>250</v>
      </c>
      <c r="E107" s="160"/>
      <c r="F107" s="160"/>
      <c r="G107" s="160"/>
      <c r="H107" s="50"/>
      <c r="I107" s="50"/>
      <c r="J107" s="50"/>
      <c r="K107" s="160"/>
      <c r="L107" s="160"/>
      <c r="M107" s="164"/>
      <c r="N107" s="99">
        <f>(1394663.7+1469200)/1000</f>
        <v>2863.8637000000003</v>
      </c>
      <c r="O107" s="99">
        <f>(1394631.41+1469200)/1000</f>
        <v>2863.8314100000002</v>
      </c>
      <c r="P107" s="99">
        <f>2163900/1000</f>
        <v>2163.9</v>
      </c>
      <c r="Q107" s="165"/>
      <c r="R107" s="140"/>
      <c r="S107" s="140"/>
    </row>
    <row r="108" spans="1:19" s="3" customFormat="1" ht="12.75" customHeight="1">
      <c r="A108" s="174"/>
      <c r="B108" s="173"/>
      <c r="C108" s="13"/>
      <c r="D108" s="183"/>
      <c r="E108" s="160"/>
      <c r="F108" s="160"/>
      <c r="G108" s="160"/>
      <c r="H108" s="50"/>
      <c r="I108" s="50"/>
      <c r="J108" s="50"/>
      <c r="K108" s="160"/>
      <c r="L108" s="160"/>
      <c r="M108" s="164"/>
      <c r="N108" s="99">
        <f>373400/1000</f>
        <v>373.4</v>
      </c>
      <c r="O108" s="99">
        <f>373400/1000</f>
        <v>373.4</v>
      </c>
      <c r="P108" s="99">
        <v>0</v>
      </c>
      <c r="Q108" s="165"/>
      <c r="R108" s="140"/>
      <c r="S108" s="140"/>
    </row>
    <row r="109" spans="1:19" s="3" customFormat="1" ht="12.75" customHeight="1">
      <c r="A109" s="174"/>
      <c r="B109" s="173"/>
      <c r="C109" s="13"/>
      <c r="D109" s="183" t="s">
        <v>448</v>
      </c>
      <c r="E109" s="160"/>
      <c r="F109" s="160"/>
      <c r="G109" s="160"/>
      <c r="H109" s="50"/>
      <c r="I109" s="50"/>
      <c r="J109" s="50"/>
      <c r="K109" s="160"/>
      <c r="L109" s="160"/>
      <c r="M109" s="164"/>
      <c r="N109" s="99">
        <f>896798.7/1000</f>
        <v>896.7986999999999</v>
      </c>
      <c r="O109" s="99">
        <f>896798.7/1000</f>
        <v>896.7986999999999</v>
      </c>
      <c r="P109" s="99">
        <v>0</v>
      </c>
      <c r="Q109" s="165"/>
      <c r="R109" s="140"/>
      <c r="S109" s="140"/>
    </row>
    <row r="110" spans="1:19" s="3" customFormat="1" ht="12.75" customHeight="1">
      <c r="A110" s="174"/>
      <c r="B110" s="173"/>
      <c r="C110" s="13"/>
      <c r="D110" s="183"/>
      <c r="E110" s="160"/>
      <c r="F110" s="160"/>
      <c r="G110" s="160"/>
      <c r="H110" s="50"/>
      <c r="I110" s="50"/>
      <c r="J110" s="50"/>
      <c r="K110" s="160"/>
      <c r="L110" s="160"/>
      <c r="M110" s="164"/>
      <c r="N110" s="99">
        <f>22743214.72/1000</f>
        <v>22743.21472</v>
      </c>
      <c r="O110" s="99">
        <f>22742361.31/1000</f>
        <v>22742.36131</v>
      </c>
      <c r="P110" s="99">
        <f>26460700/1000</f>
        <v>26460.7</v>
      </c>
      <c r="Q110" s="165"/>
      <c r="R110" s="140"/>
      <c r="S110" s="140"/>
    </row>
    <row r="111" spans="1:19" s="3" customFormat="1" ht="12" customHeight="1">
      <c r="A111" s="174"/>
      <c r="B111" s="173"/>
      <c r="C111" s="13"/>
      <c r="D111" s="183" t="s">
        <v>190</v>
      </c>
      <c r="E111" s="160"/>
      <c r="F111" s="160"/>
      <c r="G111" s="160"/>
      <c r="H111" s="50"/>
      <c r="I111" s="50"/>
      <c r="J111" s="50"/>
      <c r="K111" s="160"/>
      <c r="L111" s="160"/>
      <c r="M111" s="164"/>
      <c r="N111" s="99">
        <f>1007398/1000</f>
        <v>1007.398</v>
      </c>
      <c r="O111" s="99">
        <f>1007289.95/1000</f>
        <v>1007.28995</v>
      </c>
      <c r="P111" s="99">
        <f>1524000/1000</f>
        <v>1524</v>
      </c>
      <c r="Q111" s="99"/>
      <c r="R111" s="115"/>
      <c r="S111" s="115"/>
    </row>
    <row r="112" spans="1:19" s="3" customFormat="1" ht="12" customHeight="1">
      <c r="A112" s="174"/>
      <c r="B112" s="173"/>
      <c r="C112" s="13"/>
      <c r="D112" s="183"/>
      <c r="E112" s="160"/>
      <c r="F112" s="160"/>
      <c r="G112" s="160"/>
      <c r="H112" s="50"/>
      <c r="I112" s="50"/>
      <c r="J112" s="50"/>
      <c r="K112" s="160"/>
      <c r="L112" s="160"/>
      <c r="M112" s="164"/>
      <c r="N112" s="99">
        <f>147000/1000</f>
        <v>147</v>
      </c>
      <c r="O112" s="99">
        <f>147000/1000</f>
        <v>147</v>
      </c>
      <c r="P112" s="99">
        <f>156000/1000</f>
        <v>156</v>
      </c>
      <c r="Q112" s="99"/>
      <c r="R112" s="115"/>
      <c r="S112" s="115"/>
    </row>
    <row r="113" spans="1:19" s="3" customFormat="1" ht="12" customHeight="1">
      <c r="A113" s="174"/>
      <c r="B113" s="173"/>
      <c r="C113" s="13"/>
      <c r="D113" s="183"/>
      <c r="E113" s="160"/>
      <c r="F113" s="160"/>
      <c r="G113" s="160"/>
      <c r="H113" s="50"/>
      <c r="I113" s="50"/>
      <c r="J113" s="50"/>
      <c r="K113" s="160"/>
      <c r="L113" s="160"/>
      <c r="M113" s="164"/>
      <c r="N113" s="99">
        <f>3335640/1000</f>
        <v>3335.64</v>
      </c>
      <c r="O113" s="99">
        <f>3335640/1000</f>
        <v>3335.64</v>
      </c>
      <c r="P113" s="99">
        <v>0</v>
      </c>
      <c r="Q113" s="99"/>
      <c r="R113" s="115"/>
      <c r="S113" s="115"/>
    </row>
    <row r="114" spans="1:19" s="3" customFormat="1" ht="12" customHeight="1">
      <c r="A114" s="174"/>
      <c r="B114" s="173"/>
      <c r="C114" s="13"/>
      <c r="D114" s="183"/>
      <c r="E114" s="160"/>
      <c r="F114" s="160"/>
      <c r="G114" s="160"/>
      <c r="H114" s="50"/>
      <c r="I114" s="50"/>
      <c r="J114" s="50"/>
      <c r="K114" s="160" t="s">
        <v>105</v>
      </c>
      <c r="L114" s="160" t="s">
        <v>431</v>
      </c>
      <c r="M114" s="164" t="s">
        <v>213</v>
      </c>
      <c r="N114" s="99">
        <f>37555/1000</f>
        <v>37.555</v>
      </c>
      <c r="O114" s="99">
        <f>37555/1000</f>
        <v>37.555</v>
      </c>
      <c r="P114" s="99">
        <v>0</v>
      </c>
      <c r="Q114" s="99"/>
      <c r="R114" s="115"/>
      <c r="S114" s="115"/>
    </row>
    <row r="115" spans="1:19" s="3" customFormat="1" ht="12" customHeight="1">
      <c r="A115" s="174"/>
      <c r="B115" s="173"/>
      <c r="C115" s="13"/>
      <c r="D115" s="183"/>
      <c r="E115" s="160" t="s">
        <v>817</v>
      </c>
      <c r="F115" s="160" t="s">
        <v>818</v>
      </c>
      <c r="G115" s="160" t="s">
        <v>819</v>
      </c>
      <c r="H115" s="50"/>
      <c r="I115" s="50"/>
      <c r="J115" s="50"/>
      <c r="K115" s="160"/>
      <c r="L115" s="160"/>
      <c r="M115" s="164"/>
      <c r="N115" s="99">
        <f>1352500/1000</f>
        <v>1352.5</v>
      </c>
      <c r="O115" s="99">
        <f>1352500/1000</f>
        <v>1352.5</v>
      </c>
      <c r="P115" s="99"/>
      <c r="Q115" s="99"/>
      <c r="R115" s="115"/>
      <c r="S115" s="115"/>
    </row>
    <row r="116" spans="1:19" s="3" customFormat="1" ht="12" customHeight="1">
      <c r="A116" s="174"/>
      <c r="B116" s="173"/>
      <c r="C116" s="13"/>
      <c r="D116" s="183"/>
      <c r="E116" s="160"/>
      <c r="F116" s="160"/>
      <c r="G116" s="160"/>
      <c r="H116" s="50"/>
      <c r="I116" s="50"/>
      <c r="J116" s="50"/>
      <c r="K116" s="160"/>
      <c r="L116" s="160"/>
      <c r="M116" s="164"/>
      <c r="N116" s="99">
        <f>683750.88/1000</f>
        <v>683.75088</v>
      </c>
      <c r="O116" s="99">
        <f>683750.88/1000</f>
        <v>683.75088</v>
      </c>
      <c r="P116" s="99">
        <f>984000/1000</f>
        <v>984</v>
      </c>
      <c r="Q116" s="99"/>
      <c r="R116" s="115"/>
      <c r="S116" s="115"/>
    </row>
    <row r="117" spans="1:19" s="3" customFormat="1" ht="12" customHeight="1">
      <c r="A117" s="174"/>
      <c r="B117" s="173"/>
      <c r="C117" s="13"/>
      <c r="D117" s="190" t="s">
        <v>250</v>
      </c>
      <c r="E117" s="160"/>
      <c r="F117" s="160"/>
      <c r="G117" s="160"/>
      <c r="H117" s="50"/>
      <c r="I117" s="50"/>
      <c r="J117" s="50"/>
      <c r="K117" s="160"/>
      <c r="L117" s="160"/>
      <c r="M117" s="164"/>
      <c r="N117" s="99">
        <f>1594800/1000</f>
        <v>1594.8</v>
      </c>
      <c r="O117" s="99">
        <f>1594800/1000</f>
        <v>1594.8</v>
      </c>
      <c r="P117" s="99">
        <f>1230000/1000</f>
        <v>1230</v>
      </c>
      <c r="Q117" s="99"/>
      <c r="R117" s="115"/>
      <c r="S117" s="115"/>
    </row>
    <row r="118" spans="1:19" s="3" customFormat="1" ht="12" customHeight="1">
      <c r="A118" s="174"/>
      <c r="B118" s="173"/>
      <c r="C118" s="13"/>
      <c r="D118" s="190"/>
      <c r="E118" s="160"/>
      <c r="F118" s="160"/>
      <c r="G118" s="160"/>
      <c r="H118" s="50"/>
      <c r="I118" s="50"/>
      <c r="J118" s="50"/>
      <c r="K118" s="160"/>
      <c r="L118" s="160"/>
      <c r="M118" s="164"/>
      <c r="N118" s="99">
        <f>8816014.7/1000</f>
        <v>8816.0147</v>
      </c>
      <c r="O118" s="99">
        <f>8811957.26/1000</f>
        <v>8811.95726</v>
      </c>
      <c r="P118" s="99">
        <f>11305200/1000</f>
        <v>11305.2</v>
      </c>
      <c r="Q118" s="99"/>
      <c r="R118" s="115"/>
      <c r="S118" s="115"/>
    </row>
    <row r="119" spans="1:19" s="3" customFormat="1" ht="12" customHeight="1">
      <c r="A119" s="174"/>
      <c r="B119" s="173"/>
      <c r="C119" s="13"/>
      <c r="D119" s="190"/>
      <c r="E119" s="160"/>
      <c r="F119" s="160"/>
      <c r="G119" s="160"/>
      <c r="H119" s="50"/>
      <c r="I119" s="50"/>
      <c r="J119" s="50"/>
      <c r="K119" s="160"/>
      <c r="L119" s="160"/>
      <c r="M119" s="164"/>
      <c r="N119" s="99"/>
      <c r="O119" s="99"/>
      <c r="P119" s="99">
        <f>3600000/1000</f>
        <v>3600</v>
      </c>
      <c r="Q119" s="99"/>
      <c r="R119" s="115"/>
      <c r="S119" s="115"/>
    </row>
    <row r="120" spans="1:19" s="3" customFormat="1" ht="149.25" customHeight="1">
      <c r="A120" s="174"/>
      <c r="B120" s="173"/>
      <c r="C120" s="13"/>
      <c r="D120" s="92" t="s">
        <v>190</v>
      </c>
      <c r="E120" s="151"/>
      <c r="F120" s="151"/>
      <c r="G120" s="151"/>
      <c r="H120" s="51"/>
      <c r="I120" s="51"/>
      <c r="J120" s="51"/>
      <c r="K120" s="51" t="s">
        <v>317</v>
      </c>
      <c r="L120" s="51" t="s">
        <v>511</v>
      </c>
      <c r="M120" s="52" t="s">
        <v>457</v>
      </c>
      <c r="N120" s="109">
        <f>77509/1000</f>
        <v>77.509</v>
      </c>
      <c r="O120" s="109">
        <f>76205/1000</f>
        <v>76.205</v>
      </c>
      <c r="P120" s="109">
        <v>0</v>
      </c>
      <c r="Q120" s="109">
        <v>0</v>
      </c>
      <c r="R120" s="113">
        <v>0</v>
      </c>
      <c r="S120" s="113">
        <v>0</v>
      </c>
    </row>
    <row r="121" spans="1:19" s="3" customFormat="1" ht="49.5" customHeight="1">
      <c r="A121" s="81"/>
      <c r="B121" s="12" t="s">
        <v>520</v>
      </c>
      <c r="C121" s="13"/>
      <c r="D121" s="88" t="s">
        <v>190</v>
      </c>
      <c r="E121" s="8"/>
      <c r="F121" s="8"/>
      <c r="G121" s="8"/>
      <c r="H121" s="8"/>
      <c r="I121" s="8"/>
      <c r="J121" s="8"/>
      <c r="K121" s="8" t="s">
        <v>583</v>
      </c>
      <c r="L121" s="8" t="s">
        <v>339</v>
      </c>
      <c r="M121" s="11" t="s">
        <v>584</v>
      </c>
      <c r="N121" s="109">
        <v>0</v>
      </c>
      <c r="O121" s="109">
        <v>0</v>
      </c>
      <c r="P121" s="96">
        <f>86000/1000</f>
        <v>86</v>
      </c>
      <c r="Q121" s="96">
        <v>91</v>
      </c>
      <c r="R121" s="103">
        <f>96000/1000</f>
        <v>96</v>
      </c>
      <c r="S121" s="103">
        <v>0</v>
      </c>
    </row>
    <row r="122" spans="1:19" s="3" customFormat="1" ht="114" customHeight="1">
      <c r="A122" s="81"/>
      <c r="B122" s="12" t="s">
        <v>129</v>
      </c>
      <c r="C122" s="13"/>
      <c r="D122" s="89" t="s">
        <v>190</v>
      </c>
      <c r="E122" s="49" t="s">
        <v>81</v>
      </c>
      <c r="F122" s="49" t="s">
        <v>28</v>
      </c>
      <c r="G122" s="49" t="s">
        <v>82</v>
      </c>
      <c r="H122" s="49" t="s">
        <v>160</v>
      </c>
      <c r="I122" s="49" t="s">
        <v>218</v>
      </c>
      <c r="J122" s="49" t="s">
        <v>427</v>
      </c>
      <c r="K122" s="49" t="s">
        <v>475</v>
      </c>
      <c r="L122" s="49" t="s">
        <v>84</v>
      </c>
      <c r="M122" s="59" t="s">
        <v>80</v>
      </c>
      <c r="N122" s="98">
        <f>6414200/1000</f>
        <v>6414.2</v>
      </c>
      <c r="O122" s="98">
        <f>6414016.97/1000</f>
        <v>6414.01697</v>
      </c>
      <c r="P122" s="98">
        <v>0</v>
      </c>
      <c r="Q122" s="98">
        <v>0</v>
      </c>
      <c r="R122" s="98">
        <v>0</v>
      </c>
      <c r="S122" s="98">
        <v>0</v>
      </c>
    </row>
    <row r="123" spans="1:19" s="3" customFormat="1" ht="45" customHeight="1">
      <c r="A123" s="174"/>
      <c r="B123" s="173" t="s">
        <v>170</v>
      </c>
      <c r="C123" s="13"/>
      <c r="D123" s="89" t="s">
        <v>190</v>
      </c>
      <c r="E123" s="150" t="s">
        <v>81</v>
      </c>
      <c r="F123" s="150" t="s">
        <v>28</v>
      </c>
      <c r="G123" s="150" t="s">
        <v>82</v>
      </c>
      <c r="H123" s="49"/>
      <c r="I123" s="49"/>
      <c r="J123" s="49"/>
      <c r="K123" s="184" t="s">
        <v>535</v>
      </c>
      <c r="L123" s="150" t="s">
        <v>578</v>
      </c>
      <c r="M123" s="163" t="s">
        <v>579</v>
      </c>
      <c r="N123" s="98">
        <f>269500/1000</f>
        <v>269.5</v>
      </c>
      <c r="O123" s="98">
        <f>269500/1000</f>
        <v>269.5</v>
      </c>
      <c r="P123" s="98">
        <v>0</v>
      </c>
      <c r="Q123" s="98">
        <v>0</v>
      </c>
      <c r="R123" s="98">
        <v>0</v>
      </c>
      <c r="S123" s="98">
        <v>0</v>
      </c>
    </row>
    <row r="124" spans="1:19" s="3" customFormat="1" ht="45" customHeight="1">
      <c r="A124" s="174"/>
      <c r="B124" s="173"/>
      <c r="C124" s="13"/>
      <c r="D124" s="92" t="s">
        <v>448</v>
      </c>
      <c r="E124" s="151"/>
      <c r="F124" s="151"/>
      <c r="G124" s="151"/>
      <c r="H124" s="51"/>
      <c r="I124" s="51"/>
      <c r="J124" s="51"/>
      <c r="K124" s="185"/>
      <c r="L124" s="151"/>
      <c r="M124" s="181"/>
      <c r="N124" s="109">
        <f>1361500/1000</f>
        <v>1361.5</v>
      </c>
      <c r="O124" s="109">
        <f>1361500/1000</f>
        <v>1361.5</v>
      </c>
      <c r="P124" s="109">
        <v>0</v>
      </c>
      <c r="Q124" s="109">
        <v>0</v>
      </c>
      <c r="R124" s="109">
        <v>0</v>
      </c>
      <c r="S124" s="109">
        <v>0</v>
      </c>
    </row>
    <row r="125" spans="1:19" s="3" customFormat="1" ht="44.25" customHeight="1">
      <c r="A125" s="154"/>
      <c r="B125" s="156" t="s">
        <v>443</v>
      </c>
      <c r="C125" s="47"/>
      <c r="D125" s="89" t="s">
        <v>190</v>
      </c>
      <c r="E125" s="150" t="s">
        <v>81</v>
      </c>
      <c r="F125" s="150" t="s">
        <v>28</v>
      </c>
      <c r="G125" s="150" t="s">
        <v>82</v>
      </c>
      <c r="H125" s="49"/>
      <c r="I125" s="49"/>
      <c r="J125" s="49"/>
      <c r="K125" s="184" t="s">
        <v>535</v>
      </c>
      <c r="L125" s="150" t="s">
        <v>234</v>
      </c>
      <c r="M125" s="163" t="s">
        <v>446</v>
      </c>
      <c r="N125" s="98">
        <f>135500/1000</f>
        <v>135.5</v>
      </c>
      <c r="O125" s="98">
        <f>135500/1000</f>
        <v>135.5</v>
      </c>
      <c r="P125" s="98">
        <v>0</v>
      </c>
      <c r="Q125" s="98">
        <v>0</v>
      </c>
      <c r="R125" s="98">
        <v>0</v>
      </c>
      <c r="S125" s="98">
        <v>0</v>
      </c>
    </row>
    <row r="126" spans="1:19" s="3" customFormat="1" ht="44.25" customHeight="1">
      <c r="A126" s="155"/>
      <c r="B126" s="157"/>
      <c r="C126" s="48"/>
      <c r="D126" s="92" t="s">
        <v>448</v>
      </c>
      <c r="E126" s="151"/>
      <c r="F126" s="151"/>
      <c r="G126" s="151"/>
      <c r="H126" s="51"/>
      <c r="I126" s="51"/>
      <c r="J126" s="51"/>
      <c r="K126" s="185"/>
      <c r="L126" s="151"/>
      <c r="M126" s="181"/>
      <c r="N126" s="109">
        <f>603500/1000</f>
        <v>603.5</v>
      </c>
      <c r="O126" s="109">
        <f>603500/1000</f>
        <v>603.5</v>
      </c>
      <c r="P126" s="109">
        <v>0</v>
      </c>
      <c r="Q126" s="109">
        <v>0</v>
      </c>
      <c r="R126" s="109">
        <v>0</v>
      </c>
      <c r="S126" s="109">
        <v>0</v>
      </c>
    </row>
    <row r="127" spans="1:19" s="3" customFormat="1" ht="74.25" customHeight="1">
      <c r="A127" s="84"/>
      <c r="B127" s="64" t="s">
        <v>619</v>
      </c>
      <c r="C127" s="48"/>
      <c r="D127" s="92" t="s">
        <v>190</v>
      </c>
      <c r="E127" s="8" t="s">
        <v>81</v>
      </c>
      <c r="F127" s="8" t="s">
        <v>28</v>
      </c>
      <c r="G127" s="8" t="s">
        <v>82</v>
      </c>
      <c r="H127" s="51" t="s">
        <v>820</v>
      </c>
      <c r="I127" s="51" t="s">
        <v>821</v>
      </c>
      <c r="J127" s="51" t="s">
        <v>822</v>
      </c>
      <c r="K127" s="62" t="s">
        <v>620</v>
      </c>
      <c r="L127" s="65" t="s">
        <v>30</v>
      </c>
      <c r="M127" s="66" t="s">
        <v>208</v>
      </c>
      <c r="N127" s="109">
        <f>140000/1000</f>
        <v>140</v>
      </c>
      <c r="O127" s="109">
        <f>134987.26/1000</f>
        <v>134.98726000000002</v>
      </c>
      <c r="P127" s="109"/>
      <c r="Q127" s="109"/>
      <c r="R127" s="109"/>
      <c r="S127" s="109"/>
    </row>
    <row r="128" spans="1:19" s="2" customFormat="1" ht="19.5">
      <c r="A128" s="80" t="s">
        <v>155</v>
      </c>
      <c r="B128" s="23" t="s">
        <v>459</v>
      </c>
      <c r="C128" s="21"/>
      <c r="D128" s="88"/>
      <c r="E128" s="8"/>
      <c r="F128" s="8"/>
      <c r="G128" s="8"/>
      <c r="H128" s="8"/>
      <c r="I128" s="8"/>
      <c r="J128" s="8"/>
      <c r="K128" s="73"/>
      <c r="L128" s="8"/>
      <c r="M128" s="8"/>
      <c r="N128" s="96"/>
      <c r="O128" s="96"/>
      <c r="P128" s="96"/>
      <c r="Q128" s="105"/>
      <c r="R128" s="106"/>
      <c r="S128" s="106"/>
    </row>
    <row r="129" spans="1:19" s="2" customFormat="1" ht="28.5" customHeight="1">
      <c r="A129" s="80" t="s">
        <v>495</v>
      </c>
      <c r="B129" s="23" t="s">
        <v>368</v>
      </c>
      <c r="C129" s="21"/>
      <c r="D129" s="88"/>
      <c r="E129" s="8"/>
      <c r="F129" s="8"/>
      <c r="G129" s="8"/>
      <c r="H129" s="8"/>
      <c r="I129" s="8"/>
      <c r="J129" s="8"/>
      <c r="K129" s="8"/>
      <c r="L129" s="8"/>
      <c r="M129" s="8"/>
      <c r="N129" s="95">
        <f aca="true" t="shared" si="13" ref="N129:S129">SUM(N130:N133)</f>
        <v>2862.94624</v>
      </c>
      <c r="O129" s="95">
        <f t="shared" si="13"/>
        <v>2862.94624</v>
      </c>
      <c r="P129" s="95">
        <f t="shared" si="13"/>
        <v>4071</v>
      </c>
      <c r="Q129" s="95">
        <f t="shared" si="13"/>
        <v>4315.3</v>
      </c>
      <c r="R129" s="95">
        <f t="shared" si="13"/>
        <v>4569.8</v>
      </c>
      <c r="S129" s="95">
        <f t="shared" si="13"/>
        <v>4807.5</v>
      </c>
    </row>
    <row r="130" spans="1:19" s="2" customFormat="1" ht="125.25" customHeight="1">
      <c r="A130" s="81"/>
      <c r="B130" s="12" t="s">
        <v>481</v>
      </c>
      <c r="C130" s="13"/>
      <c r="D130" s="88" t="s">
        <v>248</v>
      </c>
      <c r="E130" s="8" t="s">
        <v>81</v>
      </c>
      <c r="F130" s="8" t="s">
        <v>28</v>
      </c>
      <c r="G130" s="8" t="s">
        <v>82</v>
      </c>
      <c r="H130" s="8"/>
      <c r="I130" s="8"/>
      <c r="J130" s="8"/>
      <c r="K130" s="8" t="s">
        <v>379</v>
      </c>
      <c r="L130" s="8" t="s">
        <v>136</v>
      </c>
      <c r="M130" s="8" t="s">
        <v>68</v>
      </c>
      <c r="N130" s="96">
        <f>(1672000+80000)/1000</f>
        <v>1752</v>
      </c>
      <c r="O130" s="96">
        <f>(1672000+80000)/1000</f>
        <v>1752</v>
      </c>
      <c r="P130" s="96">
        <v>0</v>
      </c>
      <c r="Q130" s="96">
        <v>0</v>
      </c>
      <c r="R130" s="103">
        <v>0</v>
      </c>
      <c r="S130" s="103">
        <v>0</v>
      </c>
    </row>
    <row r="131" spans="1:19" s="2" customFormat="1" ht="63" customHeight="1">
      <c r="A131" s="154"/>
      <c r="B131" s="156" t="s">
        <v>481</v>
      </c>
      <c r="C131" s="13"/>
      <c r="D131" s="158" t="s">
        <v>248</v>
      </c>
      <c r="E131" s="150" t="s">
        <v>81</v>
      </c>
      <c r="F131" s="150" t="s">
        <v>28</v>
      </c>
      <c r="G131" s="150" t="s">
        <v>82</v>
      </c>
      <c r="H131" s="150"/>
      <c r="I131" s="150"/>
      <c r="J131" s="195"/>
      <c r="K131" s="72" t="s">
        <v>740</v>
      </c>
      <c r="L131" s="72" t="s">
        <v>30</v>
      </c>
      <c r="M131" s="72" t="s">
        <v>741</v>
      </c>
      <c r="N131" s="193">
        <v>0</v>
      </c>
      <c r="O131" s="144">
        <v>0</v>
      </c>
      <c r="P131" s="152">
        <v>2371</v>
      </c>
      <c r="Q131" s="152">
        <v>2513.3</v>
      </c>
      <c r="R131" s="139">
        <v>2661.5</v>
      </c>
      <c r="S131" s="139">
        <v>2799.9</v>
      </c>
    </row>
    <row r="132" spans="1:19" s="2" customFormat="1" ht="75" customHeight="1">
      <c r="A132" s="155"/>
      <c r="B132" s="157"/>
      <c r="C132" s="13"/>
      <c r="D132" s="159"/>
      <c r="E132" s="151"/>
      <c r="F132" s="151"/>
      <c r="G132" s="151"/>
      <c r="H132" s="151"/>
      <c r="I132" s="151"/>
      <c r="J132" s="196"/>
      <c r="K132" s="77" t="s">
        <v>742</v>
      </c>
      <c r="L132" s="77" t="s">
        <v>743</v>
      </c>
      <c r="M132" s="77" t="s">
        <v>741</v>
      </c>
      <c r="N132" s="194"/>
      <c r="O132" s="168"/>
      <c r="P132" s="153"/>
      <c r="Q132" s="153"/>
      <c r="R132" s="141"/>
      <c r="S132" s="141"/>
    </row>
    <row r="133" spans="1:19" s="3" customFormat="1" ht="96.75" customHeight="1">
      <c r="A133" s="81"/>
      <c r="B133" s="12" t="s">
        <v>33</v>
      </c>
      <c r="C133" s="13"/>
      <c r="D133" s="88" t="s">
        <v>34</v>
      </c>
      <c r="E133" s="8" t="s">
        <v>81</v>
      </c>
      <c r="F133" s="8" t="s">
        <v>28</v>
      </c>
      <c r="G133" s="8" t="s">
        <v>82</v>
      </c>
      <c r="H133" s="8"/>
      <c r="I133" s="8"/>
      <c r="J133" s="8"/>
      <c r="K133" s="8" t="s">
        <v>322</v>
      </c>
      <c r="L133" s="8" t="s">
        <v>87</v>
      </c>
      <c r="M133" s="8" t="s">
        <v>261</v>
      </c>
      <c r="N133" s="96">
        <f>1110946.24/1000</f>
        <v>1110.94624</v>
      </c>
      <c r="O133" s="96">
        <f>1110946.24/1000</f>
        <v>1110.94624</v>
      </c>
      <c r="P133" s="96">
        <f>1700000/1000</f>
        <v>1700</v>
      </c>
      <c r="Q133" s="96">
        <v>1802</v>
      </c>
      <c r="R133" s="103">
        <v>1908.3</v>
      </c>
      <c r="S133" s="103">
        <v>2007.6</v>
      </c>
    </row>
    <row r="134" spans="1:19" s="6" customFormat="1" ht="85.5" customHeight="1">
      <c r="A134" s="80" t="s">
        <v>220</v>
      </c>
      <c r="B134" s="23" t="s">
        <v>176</v>
      </c>
      <c r="C134" s="21"/>
      <c r="D134" s="91"/>
      <c r="E134" s="41"/>
      <c r="F134" s="41"/>
      <c r="G134" s="41"/>
      <c r="H134" s="41"/>
      <c r="I134" s="41"/>
      <c r="J134" s="41"/>
      <c r="K134" s="41"/>
      <c r="L134" s="41"/>
      <c r="M134" s="41"/>
      <c r="N134" s="95"/>
      <c r="O134" s="95"/>
      <c r="P134" s="95"/>
      <c r="Q134" s="95"/>
      <c r="R134" s="95"/>
      <c r="S134" s="95"/>
    </row>
    <row r="135" spans="1:19" s="2" customFormat="1" ht="60" customHeight="1">
      <c r="A135" s="80" t="s">
        <v>124</v>
      </c>
      <c r="B135" s="23" t="s">
        <v>108</v>
      </c>
      <c r="C135" s="21"/>
      <c r="D135" s="88"/>
      <c r="E135" s="8"/>
      <c r="F135" s="8"/>
      <c r="G135" s="8"/>
      <c r="H135" s="8"/>
      <c r="I135" s="8"/>
      <c r="J135" s="8"/>
      <c r="K135" s="8"/>
      <c r="L135" s="8"/>
      <c r="M135" s="8"/>
      <c r="N135" s="96"/>
      <c r="O135" s="96"/>
      <c r="P135" s="96"/>
      <c r="Q135" s="105"/>
      <c r="R135" s="106"/>
      <c r="S135" s="106"/>
    </row>
    <row r="136" spans="1:19" s="2" customFormat="1" ht="35.25" customHeight="1">
      <c r="A136" s="80" t="s">
        <v>96</v>
      </c>
      <c r="B136" s="23" t="s">
        <v>174</v>
      </c>
      <c r="C136" s="21"/>
      <c r="D136" s="88"/>
      <c r="E136" s="8"/>
      <c r="F136" s="8"/>
      <c r="G136" s="8"/>
      <c r="H136" s="8"/>
      <c r="I136" s="8"/>
      <c r="J136" s="8"/>
      <c r="K136" s="8"/>
      <c r="L136" s="8"/>
      <c r="M136" s="8"/>
      <c r="N136" s="95">
        <f>SUM(N137:N137)</f>
        <v>1692.58465</v>
      </c>
      <c r="O136" s="95">
        <f>SUM(O137:O137)</f>
        <v>1692.58465</v>
      </c>
      <c r="P136" s="95">
        <f>SUM(P137:P138)</f>
        <v>2642.2</v>
      </c>
      <c r="Q136" s="95">
        <f>SUM(Q137:Q137)</f>
        <v>2725</v>
      </c>
      <c r="R136" s="95">
        <f>SUM(R137:R137)</f>
        <v>2885.8</v>
      </c>
      <c r="S136" s="95">
        <f>SUM(S137:S137)</f>
        <v>3035.9</v>
      </c>
    </row>
    <row r="137" spans="1:19" s="3" customFormat="1" ht="63.75" customHeight="1">
      <c r="A137" s="81"/>
      <c r="B137" s="12" t="s">
        <v>487</v>
      </c>
      <c r="C137" s="13"/>
      <c r="D137" s="88" t="s">
        <v>522</v>
      </c>
      <c r="E137" s="8" t="s">
        <v>81</v>
      </c>
      <c r="F137" s="8" t="s">
        <v>28</v>
      </c>
      <c r="G137" s="8" t="s">
        <v>82</v>
      </c>
      <c r="H137" s="8"/>
      <c r="I137" s="8"/>
      <c r="J137" s="8"/>
      <c r="K137" s="8" t="s">
        <v>492</v>
      </c>
      <c r="L137" s="8" t="s">
        <v>464</v>
      </c>
      <c r="M137" s="8" t="s">
        <v>80</v>
      </c>
      <c r="N137" s="96">
        <f>1692584.65/1000</f>
        <v>1692.58465</v>
      </c>
      <c r="O137" s="96">
        <f>1692584.65/1000</f>
        <v>1692.58465</v>
      </c>
      <c r="P137" s="96">
        <f>2142200/1000</f>
        <v>2142.2</v>
      </c>
      <c r="Q137" s="96">
        <v>2725</v>
      </c>
      <c r="R137" s="103">
        <v>2885.8</v>
      </c>
      <c r="S137" s="103">
        <v>3035.9</v>
      </c>
    </row>
    <row r="138" spans="1:19" s="3" customFormat="1" ht="111" customHeight="1">
      <c r="A138" s="81"/>
      <c r="B138" s="12" t="s">
        <v>487</v>
      </c>
      <c r="C138" s="13"/>
      <c r="D138" s="88" t="s">
        <v>522</v>
      </c>
      <c r="E138" s="8" t="s">
        <v>81</v>
      </c>
      <c r="F138" s="8" t="s">
        <v>28</v>
      </c>
      <c r="G138" s="8" t="s">
        <v>82</v>
      </c>
      <c r="H138" s="8"/>
      <c r="I138" s="8"/>
      <c r="J138" s="8"/>
      <c r="K138" s="8" t="s">
        <v>738</v>
      </c>
      <c r="L138" s="62" t="s">
        <v>699</v>
      </c>
      <c r="M138" s="62" t="s">
        <v>569</v>
      </c>
      <c r="N138" s="96"/>
      <c r="O138" s="96"/>
      <c r="P138" s="96">
        <f>500000/1000</f>
        <v>500</v>
      </c>
      <c r="Q138" s="96"/>
      <c r="R138" s="103"/>
      <c r="S138" s="103"/>
    </row>
    <row r="139" spans="1:19" s="2" customFormat="1" ht="48" customHeight="1">
      <c r="A139" s="80" t="s">
        <v>226</v>
      </c>
      <c r="B139" s="23" t="s">
        <v>335</v>
      </c>
      <c r="C139" s="21"/>
      <c r="D139" s="88"/>
      <c r="E139" s="8"/>
      <c r="F139" s="8"/>
      <c r="G139" s="8"/>
      <c r="H139" s="8"/>
      <c r="I139" s="8"/>
      <c r="J139" s="8"/>
      <c r="K139" s="8"/>
      <c r="L139" s="8"/>
      <c r="M139" s="8"/>
      <c r="N139" s="96"/>
      <c r="O139" s="96"/>
      <c r="P139" s="96"/>
      <c r="Q139" s="105"/>
      <c r="R139" s="106"/>
      <c r="S139" s="106"/>
    </row>
    <row r="140" spans="1:19" s="2" customFormat="1" ht="61.5" customHeight="1">
      <c r="A140" s="80" t="s">
        <v>119</v>
      </c>
      <c r="B140" s="23" t="s">
        <v>120</v>
      </c>
      <c r="C140" s="21"/>
      <c r="D140" s="88"/>
      <c r="E140" s="8"/>
      <c r="F140" s="8"/>
      <c r="G140" s="8"/>
      <c r="H140" s="8"/>
      <c r="I140" s="8"/>
      <c r="J140" s="8"/>
      <c r="K140" s="8"/>
      <c r="L140" s="8"/>
      <c r="M140" s="8"/>
      <c r="N140" s="95">
        <f>SUM(N141)</f>
        <v>737</v>
      </c>
      <c r="O140" s="95">
        <f>SUM(O141)</f>
        <v>707.399</v>
      </c>
      <c r="P140" s="95">
        <f>SUM(P141)</f>
        <v>768</v>
      </c>
      <c r="Q140" s="95">
        <f>SUM(Q141)</f>
        <v>814.1</v>
      </c>
      <c r="R140" s="95">
        <f>SUM(R141)</f>
        <v>862.1</v>
      </c>
      <c r="S140" s="95">
        <v>0</v>
      </c>
    </row>
    <row r="141" spans="1:19" s="2" customFormat="1" ht="114" customHeight="1">
      <c r="A141" s="81"/>
      <c r="B141" s="12" t="s">
        <v>449</v>
      </c>
      <c r="C141" s="13"/>
      <c r="D141" s="88" t="s">
        <v>388</v>
      </c>
      <c r="E141" s="8" t="s">
        <v>81</v>
      </c>
      <c r="F141" s="8" t="s">
        <v>28</v>
      </c>
      <c r="G141" s="8" t="s">
        <v>82</v>
      </c>
      <c r="H141" s="8"/>
      <c r="I141" s="8"/>
      <c r="J141" s="8"/>
      <c r="K141" s="8" t="s">
        <v>941</v>
      </c>
      <c r="L141" s="8" t="s">
        <v>128</v>
      </c>
      <c r="M141" s="8" t="s">
        <v>461</v>
      </c>
      <c r="N141" s="96">
        <f>737000/1000</f>
        <v>737</v>
      </c>
      <c r="O141" s="96">
        <f>707399/1000</f>
        <v>707.399</v>
      </c>
      <c r="P141" s="96">
        <f>768000/1000</f>
        <v>768</v>
      </c>
      <c r="Q141" s="96">
        <v>814.1</v>
      </c>
      <c r="R141" s="103">
        <v>862.1</v>
      </c>
      <c r="S141" s="103">
        <v>906.9</v>
      </c>
    </row>
    <row r="142" spans="1:19" s="2" customFormat="1" ht="63" customHeight="1">
      <c r="A142" s="80" t="s">
        <v>233</v>
      </c>
      <c r="B142" s="23" t="s">
        <v>168</v>
      </c>
      <c r="C142" s="21"/>
      <c r="D142" s="88"/>
      <c r="E142" s="8"/>
      <c r="F142" s="8"/>
      <c r="G142" s="8"/>
      <c r="H142" s="8"/>
      <c r="I142" s="8"/>
      <c r="J142" s="8"/>
      <c r="K142" s="8"/>
      <c r="L142" s="8"/>
      <c r="M142" s="8"/>
      <c r="N142" s="95"/>
      <c r="O142" s="95"/>
      <c r="P142" s="95"/>
      <c r="Q142" s="95"/>
      <c r="R142" s="95"/>
      <c r="S142" s="95"/>
    </row>
    <row r="143" spans="1:19" s="2" customFormat="1" ht="87.75" customHeight="1" hidden="1" outlineLevel="1">
      <c r="A143" s="81"/>
      <c r="B143" s="22" t="s">
        <v>294</v>
      </c>
      <c r="C143" s="21"/>
      <c r="D143" s="88" t="s">
        <v>295</v>
      </c>
      <c r="E143" s="8"/>
      <c r="F143" s="8"/>
      <c r="G143" s="8"/>
      <c r="H143" s="8"/>
      <c r="I143" s="8"/>
      <c r="J143" s="8"/>
      <c r="K143" s="8" t="s">
        <v>241</v>
      </c>
      <c r="L143" s="8" t="s">
        <v>431</v>
      </c>
      <c r="M143" s="8" t="s">
        <v>462</v>
      </c>
      <c r="N143" s="96">
        <v>0</v>
      </c>
      <c r="O143" s="96">
        <v>0</v>
      </c>
      <c r="P143" s="96">
        <v>0</v>
      </c>
      <c r="Q143" s="105"/>
      <c r="R143" s="106"/>
      <c r="S143" s="106"/>
    </row>
    <row r="144" spans="1:19" s="6" customFormat="1" ht="61.5" customHeight="1" collapsed="1">
      <c r="A144" s="80" t="s">
        <v>229</v>
      </c>
      <c r="B144" s="43" t="s">
        <v>491</v>
      </c>
      <c r="C144" s="21"/>
      <c r="D144" s="91"/>
      <c r="E144" s="130"/>
      <c r="F144" s="130"/>
      <c r="G144" s="130"/>
      <c r="H144" s="130"/>
      <c r="I144" s="130"/>
      <c r="J144" s="130"/>
      <c r="K144" s="41"/>
      <c r="L144" s="41"/>
      <c r="M144" s="41"/>
      <c r="N144" s="95">
        <f aca="true" t="shared" si="14" ref="N144:S144">SUM(N145:N146)</f>
        <v>270</v>
      </c>
      <c r="O144" s="95">
        <f t="shared" si="14"/>
        <v>269.998</v>
      </c>
      <c r="P144" s="95">
        <f t="shared" si="14"/>
        <v>265</v>
      </c>
      <c r="Q144" s="95">
        <f t="shared" si="14"/>
        <v>280.9</v>
      </c>
      <c r="R144" s="95">
        <f t="shared" si="14"/>
        <v>297.5</v>
      </c>
      <c r="S144" s="95">
        <f t="shared" si="14"/>
        <v>312.9</v>
      </c>
    </row>
    <row r="145" spans="1:19" s="6" customFormat="1" ht="53.25" customHeight="1">
      <c r="A145" s="82"/>
      <c r="B145" s="156" t="s">
        <v>595</v>
      </c>
      <c r="C145" s="13"/>
      <c r="D145" s="89" t="s">
        <v>338</v>
      </c>
      <c r="E145" s="161" t="s">
        <v>81</v>
      </c>
      <c r="F145" s="161" t="s">
        <v>28</v>
      </c>
      <c r="G145" s="161" t="s">
        <v>82</v>
      </c>
      <c r="H145" s="161" t="s">
        <v>265</v>
      </c>
      <c r="I145" s="161" t="s">
        <v>266</v>
      </c>
      <c r="J145" s="161" t="s">
        <v>267</v>
      </c>
      <c r="K145" s="150" t="s">
        <v>328</v>
      </c>
      <c r="L145" s="150" t="s">
        <v>431</v>
      </c>
      <c r="M145" s="150" t="s">
        <v>15</v>
      </c>
      <c r="N145" s="98">
        <f>270000/1000</f>
        <v>270</v>
      </c>
      <c r="O145" s="98">
        <f>269998/1000</f>
        <v>269.998</v>
      </c>
      <c r="P145" s="98">
        <v>0</v>
      </c>
      <c r="Q145" s="98">
        <v>0</v>
      </c>
      <c r="R145" s="112">
        <v>0</v>
      </c>
      <c r="S145" s="112">
        <v>0</v>
      </c>
    </row>
    <row r="146" spans="1:19" s="6" customFormat="1" ht="53.25" customHeight="1">
      <c r="A146" s="84"/>
      <c r="B146" s="157"/>
      <c r="C146" s="13"/>
      <c r="D146" s="92" t="s">
        <v>522</v>
      </c>
      <c r="E146" s="162"/>
      <c r="F146" s="162"/>
      <c r="G146" s="162"/>
      <c r="H146" s="162"/>
      <c r="I146" s="162"/>
      <c r="J146" s="162"/>
      <c r="K146" s="151"/>
      <c r="L146" s="151"/>
      <c r="M146" s="151"/>
      <c r="N146" s="109">
        <v>0</v>
      </c>
      <c r="O146" s="109">
        <v>0</v>
      </c>
      <c r="P146" s="109">
        <v>265</v>
      </c>
      <c r="Q146" s="109">
        <v>280.9</v>
      </c>
      <c r="R146" s="113">
        <v>297.5</v>
      </c>
      <c r="S146" s="113">
        <v>312.9</v>
      </c>
    </row>
    <row r="147" spans="1:19" s="2" customFormat="1" ht="46.5" customHeight="1">
      <c r="A147" s="80" t="s">
        <v>336</v>
      </c>
      <c r="B147" s="23" t="s">
        <v>337</v>
      </c>
      <c r="C147" s="21"/>
      <c r="D147" s="88"/>
      <c r="E147" s="8"/>
      <c r="F147" s="8"/>
      <c r="G147" s="8"/>
      <c r="H147" s="8"/>
      <c r="I147" s="8"/>
      <c r="J147" s="8"/>
      <c r="K147" s="8"/>
      <c r="L147" s="8"/>
      <c r="M147" s="8"/>
      <c r="N147" s="96"/>
      <c r="O147" s="96"/>
      <c r="P147" s="96"/>
      <c r="Q147" s="105"/>
      <c r="R147" s="106"/>
      <c r="S147" s="106"/>
    </row>
    <row r="148" spans="1:19" s="6" customFormat="1" ht="51" customHeight="1">
      <c r="A148" s="80" t="s">
        <v>36</v>
      </c>
      <c r="B148" s="43" t="s">
        <v>89</v>
      </c>
      <c r="C148" s="21"/>
      <c r="D148" s="91"/>
      <c r="E148" s="130"/>
      <c r="F148" s="130"/>
      <c r="G148" s="130"/>
      <c r="H148" s="130"/>
      <c r="I148" s="130"/>
      <c r="J148" s="130"/>
      <c r="K148" s="41"/>
      <c r="L148" s="41"/>
      <c r="M148" s="41"/>
      <c r="N148" s="95">
        <f aca="true" t="shared" si="15" ref="N148:S148">SUM(N149:N151)</f>
        <v>42868</v>
      </c>
      <c r="O148" s="95">
        <f t="shared" si="15"/>
        <v>42868</v>
      </c>
      <c r="P148" s="95">
        <f t="shared" si="15"/>
        <v>43180</v>
      </c>
      <c r="Q148" s="95">
        <f t="shared" si="15"/>
        <v>45770.8</v>
      </c>
      <c r="R148" s="95">
        <f t="shared" si="15"/>
        <v>48471.3</v>
      </c>
      <c r="S148" s="95">
        <f t="shared" si="15"/>
        <v>50991.8</v>
      </c>
    </row>
    <row r="149" spans="1:19" s="6" customFormat="1" ht="63.75" customHeight="1">
      <c r="A149" s="80"/>
      <c r="B149" s="12" t="s">
        <v>441</v>
      </c>
      <c r="C149" s="13"/>
      <c r="D149" s="93" t="s">
        <v>537</v>
      </c>
      <c r="E149" s="130" t="s">
        <v>81</v>
      </c>
      <c r="F149" s="130" t="s">
        <v>28</v>
      </c>
      <c r="G149" s="130" t="s">
        <v>82</v>
      </c>
      <c r="H149" s="130" t="s">
        <v>268</v>
      </c>
      <c r="I149" s="130" t="s">
        <v>269</v>
      </c>
      <c r="J149" s="130" t="s">
        <v>213</v>
      </c>
      <c r="K149" s="8" t="s">
        <v>711</v>
      </c>
      <c r="L149" s="8" t="s">
        <v>575</v>
      </c>
      <c r="M149" s="8" t="s">
        <v>702</v>
      </c>
      <c r="N149" s="96">
        <f>42868000/1000</f>
        <v>42868</v>
      </c>
      <c r="O149" s="96">
        <f>42868000/1000</f>
        <v>42868</v>
      </c>
      <c r="P149" s="96">
        <f>43180000/1000</f>
        <v>43180</v>
      </c>
      <c r="Q149" s="96">
        <v>45770.8</v>
      </c>
      <c r="R149" s="103">
        <v>48471.3</v>
      </c>
      <c r="S149" s="103">
        <v>50991.8</v>
      </c>
    </row>
    <row r="150" spans="1:19" s="6" customFormat="1" ht="64.5" customHeight="1" hidden="1">
      <c r="A150" s="80"/>
      <c r="B150" s="12" t="s">
        <v>519</v>
      </c>
      <c r="C150" s="13"/>
      <c r="D150" s="93" t="s">
        <v>536</v>
      </c>
      <c r="E150" s="130" t="s">
        <v>81</v>
      </c>
      <c r="F150" s="130" t="s">
        <v>28</v>
      </c>
      <c r="G150" s="130" t="s">
        <v>82</v>
      </c>
      <c r="H150" s="130" t="s">
        <v>268</v>
      </c>
      <c r="I150" s="130" t="s">
        <v>269</v>
      </c>
      <c r="J150" s="130" t="s">
        <v>213</v>
      </c>
      <c r="K150" s="8" t="s">
        <v>711</v>
      </c>
      <c r="L150" s="8" t="s">
        <v>712</v>
      </c>
      <c r="M150" s="8" t="s">
        <v>702</v>
      </c>
      <c r="N150" s="96"/>
      <c r="O150" s="96"/>
      <c r="P150" s="96"/>
      <c r="Q150" s="96"/>
      <c r="R150" s="103"/>
      <c r="S150" s="103"/>
    </row>
    <row r="151" spans="1:19" s="3" customFormat="1" ht="63" customHeight="1" hidden="1">
      <c r="A151" s="81"/>
      <c r="B151" s="12" t="s">
        <v>518</v>
      </c>
      <c r="C151" s="13"/>
      <c r="D151" s="93" t="s">
        <v>536</v>
      </c>
      <c r="E151" s="130" t="s">
        <v>81</v>
      </c>
      <c r="F151" s="130" t="s">
        <v>28</v>
      </c>
      <c r="G151" s="130" t="s">
        <v>82</v>
      </c>
      <c r="H151" s="130" t="s">
        <v>268</v>
      </c>
      <c r="I151" s="130" t="s">
        <v>269</v>
      </c>
      <c r="J151" s="130" t="s">
        <v>213</v>
      </c>
      <c r="K151" s="8" t="s">
        <v>711</v>
      </c>
      <c r="L151" s="8" t="s">
        <v>713</v>
      </c>
      <c r="M151" s="8" t="s">
        <v>702</v>
      </c>
      <c r="N151" s="96"/>
      <c r="O151" s="96"/>
      <c r="P151" s="96"/>
      <c r="Q151" s="96"/>
      <c r="R151" s="103"/>
      <c r="S151" s="103"/>
    </row>
    <row r="152" spans="1:19" s="2" customFormat="1" ht="50.25" customHeight="1">
      <c r="A152" s="80" t="s">
        <v>201</v>
      </c>
      <c r="B152" s="23" t="s">
        <v>56</v>
      </c>
      <c r="C152" s="21"/>
      <c r="D152" s="88"/>
      <c r="E152" s="8"/>
      <c r="F152" s="8"/>
      <c r="G152" s="8"/>
      <c r="H152" s="8"/>
      <c r="I152" s="8"/>
      <c r="J152" s="8"/>
      <c r="K152" s="8"/>
      <c r="L152" s="8"/>
      <c r="M152" s="8"/>
      <c r="N152" s="96"/>
      <c r="O152" s="96"/>
      <c r="P152" s="96"/>
      <c r="Q152" s="105"/>
      <c r="R152" s="106"/>
      <c r="S152" s="106"/>
    </row>
    <row r="153" spans="1:19" s="2" customFormat="1" ht="40.5" customHeight="1">
      <c r="A153" s="80" t="s">
        <v>369</v>
      </c>
      <c r="B153" s="23" t="s">
        <v>90</v>
      </c>
      <c r="C153" s="21"/>
      <c r="D153" s="88"/>
      <c r="E153" s="8"/>
      <c r="F153" s="8"/>
      <c r="G153" s="8"/>
      <c r="H153" s="8"/>
      <c r="I153" s="8"/>
      <c r="J153" s="8"/>
      <c r="K153" s="8"/>
      <c r="L153" s="8"/>
      <c r="M153" s="8"/>
      <c r="N153" s="96"/>
      <c r="O153" s="96"/>
      <c r="P153" s="96"/>
      <c r="Q153" s="105"/>
      <c r="R153" s="106"/>
      <c r="S153" s="106"/>
    </row>
    <row r="154" spans="1:19" s="6" customFormat="1" ht="63.75" customHeight="1">
      <c r="A154" s="80" t="s">
        <v>116</v>
      </c>
      <c r="B154" s="43" t="s">
        <v>59</v>
      </c>
      <c r="C154" s="21"/>
      <c r="D154" s="91"/>
      <c r="E154" s="41"/>
      <c r="F154" s="41"/>
      <c r="G154" s="41"/>
      <c r="H154" s="41"/>
      <c r="I154" s="41"/>
      <c r="J154" s="41"/>
      <c r="K154" s="41"/>
      <c r="L154" s="41"/>
      <c r="M154" s="41"/>
      <c r="N154" s="95"/>
      <c r="O154" s="95"/>
      <c r="P154" s="95"/>
      <c r="Q154" s="116"/>
      <c r="R154" s="117"/>
      <c r="S154" s="117"/>
    </row>
    <row r="155" spans="1:19" s="2" customFormat="1" ht="38.25" customHeight="1">
      <c r="A155" s="80" t="s">
        <v>215</v>
      </c>
      <c r="B155" s="23" t="s">
        <v>502</v>
      </c>
      <c r="C155" s="21"/>
      <c r="D155" s="88"/>
      <c r="E155" s="8"/>
      <c r="F155" s="8"/>
      <c r="G155" s="8"/>
      <c r="H155" s="8"/>
      <c r="I155" s="8"/>
      <c r="J155" s="8"/>
      <c r="K155" s="8"/>
      <c r="L155" s="8"/>
      <c r="M155" s="8"/>
      <c r="N155" s="96"/>
      <c r="O155" s="96"/>
      <c r="P155" s="96"/>
      <c r="Q155" s="105"/>
      <c r="R155" s="106"/>
      <c r="S155" s="106"/>
    </row>
    <row r="156" spans="1:19" s="6" customFormat="1" ht="61.5" customHeight="1">
      <c r="A156" s="80" t="s">
        <v>106</v>
      </c>
      <c r="B156" s="23" t="s">
        <v>107</v>
      </c>
      <c r="C156" s="21"/>
      <c r="D156" s="91"/>
      <c r="E156" s="41"/>
      <c r="F156" s="41"/>
      <c r="G156" s="41"/>
      <c r="H156" s="41"/>
      <c r="I156" s="41"/>
      <c r="J156" s="41"/>
      <c r="K156" s="41"/>
      <c r="L156" s="41"/>
      <c r="M156" s="41"/>
      <c r="N156" s="95">
        <f aca="true" t="shared" si="16" ref="N156:S156">SUM(N157:N160)</f>
        <v>1944.23343</v>
      </c>
      <c r="O156" s="95">
        <f t="shared" si="16"/>
        <v>679.66198</v>
      </c>
      <c r="P156" s="95">
        <f t="shared" si="16"/>
        <v>1860.3</v>
      </c>
      <c r="Q156" s="95">
        <f t="shared" si="16"/>
        <v>715.5</v>
      </c>
      <c r="R156" s="95">
        <f t="shared" si="16"/>
        <v>757.7</v>
      </c>
      <c r="S156" s="95">
        <f t="shared" si="16"/>
        <v>797.1</v>
      </c>
    </row>
    <row r="157" spans="1:19" s="2" customFormat="1" ht="108.75" customHeight="1">
      <c r="A157" s="81"/>
      <c r="B157" s="12" t="s">
        <v>313</v>
      </c>
      <c r="C157" s="13"/>
      <c r="D157" s="88" t="s">
        <v>253</v>
      </c>
      <c r="E157" s="8" t="s">
        <v>81</v>
      </c>
      <c r="F157" s="8" t="s">
        <v>28</v>
      </c>
      <c r="G157" s="8" t="s">
        <v>82</v>
      </c>
      <c r="H157" s="8"/>
      <c r="I157" s="8"/>
      <c r="J157" s="8"/>
      <c r="K157" s="8" t="s">
        <v>146</v>
      </c>
      <c r="L157" s="8" t="s">
        <v>136</v>
      </c>
      <c r="M157" s="8" t="s">
        <v>147</v>
      </c>
      <c r="N157" s="96">
        <f>271586.13/1000</f>
        <v>271.58613</v>
      </c>
      <c r="O157" s="96">
        <f>258188.13/1000</f>
        <v>258.18813</v>
      </c>
      <c r="P157" s="96">
        <v>0</v>
      </c>
      <c r="Q157" s="96">
        <v>0</v>
      </c>
      <c r="R157" s="96">
        <v>0</v>
      </c>
      <c r="S157" s="96">
        <v>0</v>
      </c>
    </row>
    <row r="158" spans="1:19" s="2" customFormat="1" ht="101.25" customHeight="1">
      <c r="A158" s="81"/>
      <c r="B158" s="12" t="s">
        <v>313</v>
      </c>
      <c r="C158" s="13"/>
      <c r="D158" s="88" t="s">
        <v>253</v>
      </c>
      <c r="E158" s="8" t="s">
        <v>81</v>
      </c>
      <c r="F158" s="8" t="s">
        <v>28</v>
      </c>
      <c r="G158" s="8" t="s">
        <v>82</v>
      </c>
      <c r="H158" s="8"/>
      <c r="I158" s="8"/>
      <c r="J158" s="8"/>
      <c r="K158" s="78" t="s">
        <v>744</v>
      </c>
      <c r="L158" s="78" t="s">
        <v>745</v>
      </c>
      <c r="M158" s="78" t="s">
        <v>732</v>
      </c>
      <c r="N158" s="96">
        <v>0</v>
      </c>
      <c r="O158" s="96">
        <v>0</v>
      </c>
      <c r="P158" s="96">
        <f>675000/1000</f>
        <v>675</v>
      </c>
      <c r="Q158" s="96">
        <v>715.5</v>
      </c>
      <c r="R158" s="103">
        <v>757.7</v>
      </c>
      <c r="S158" s="103">
        <v>797.1</v>
      </c>
    </row>
    <row r="159" spans="1:19" s="2" customFormat="1" ht="54.75" customHeight="1">
      <c r="A159" s="174"/>
      <c r="B159" s="173" t="s">
        <v>207</v>
      </c>
      <c r="C159" s="13"/>
      <c r="D159" s="177" t="s">
        <v>388</v>
      </c>
      <c r="E159" s="150" t="s">
        <v>81</v>
      </c>
      <c r="F159" s="150" t="s">
        <v>28</v>
      </c>
      <c r="G159" s="150" t="s">
        <v>82</v>
      </c>
      <c r="H159" s="150"/>
      <c r="I159" s="150"/>
      <c r="J159" s="150"/>
      <c r="K159" s="166" t="s">
        <v>746</v>
      </c>
      <c r="L159" s="166" t="s">
        <v>312</v>
      </c>
      <c r="M159" s="166" t="s">
        <v>461</v>
      </c>
      <c r="N159" s="98">
        <f>1387036.8/1000</f>
        <v>1387.0368</v>
      </c>
      <c r="O159" s="98">
        <f>135863.35/1000</f>
        <v>135.86335</v>
      </c>
      <c r="P159" s="98">
        <f>1185300/1000</f>
        <v>1185.3</v>
      </c>
      <c r="Q159" s="98">
        <v>0</v>
      </c>
      <c r="R159" s="98">
        <v>0</v>
      </c>
      <c r="S159" s="98">
        <v>0</v>
      </c>
    </row>
    <row r="160" spans="1:19" s="2" customFormat="1" ht="54.75" customHeight="1">
      <c r="A160" s="174"/>
      <c r="B160" s="173"/>
      <c r="C160" s="13"/>
      <c r="D160" s="177"/>
      <c r="E160" s="151"/>
      <c r="F160" s="151"/>
      <c r="G160" s="151"/>
      <c r="H160" s="151"/>
      <c r="I160" s="151"/>
      <c r="J160" s="151"/>
      <c r="K160" s="166"/>
      <c r="L160" s="166"/>
      <c r="M160" s="166"/>
      <c r="N160" s="99">
        <f>285610.5/1000</f>
        <v>285.6105</v>
      </c>
      <c r="O160" s="99">
        <f>285610.5/1000</f>
        <v>285.6105</v>
      </c>
      <c r="P160" s="99">
        <v>0</v>
      </c>
      <c r="Q160" s="99">
        <v>0</v>
      </c>
      <c r="R160" s="99">
        <v>0</v>
      </c>
      <c r="S160" s="99">
        <v>0</v>
      </c>
    </row>
    <row r="161" spans="1:19" s="2" customFormat="1" ht="86.25" customHeight="1">
      <c r="A161" s="80" t="s">
        <v>60</v>
      </c>
      <c r="B161" s="23" t="s">
        <v>61</v>
      </c>
      <c r="C161" s="21"/>
      <c r="D161" s="88"/>
      <c r="E161" s="8"/>
      <c r="F161" s="8"/>
      <c r="G161" s="8"/>
      <c r="H161" s="8"/>
      <c r="I161" s="8"/>
      <c r="J161" s="8"/>
      <c r="K161" s="8"/>
      <c r="L161" s="8"/>
      <c r="M161" s="8"/>
      <c r="N161" s="95">
        <f aca="true" t="shared" si="17" ref="N161:S161">SUM(N162:N164)</f>
        <v>1497.4</v>
      </c>
      <c r="O161" s="95">
        <f t="shared" si="17"/>
        <v>1491.81822</v>
      </c>
      <c r="P161" s="95">
        <f t="shared" si="17"/>
        <v>5449</v>
      </c>
      <c r="Q161" s="95">
        <f t="shared" si="17"/>
        <v>5768.299999999999</v>
      </c>
      <c r="R161" s="95">
        <f t="shared" si="17"/>
        <v>6097.5731</v>
      </c>
      <c r="S161" s="95">
        <f t="shared" si="17"/>
        <v>6404.902101199999</v>
      </c>
    </row>
    <row r="162" spans="1:19" s="3" customFormat="1" ht="207" customHeight="1">
      <c r="A162" s="81"/>
      <c r="B162" s="12" t="s">
        <v>153</v>
      </c>
      <c r="C162" s="13"/>
      <c r="D162" s="88" t="s">
        <v>531</v>
      </c>
      <c r="E162" s="8" t="s">
        <v>81</v>
      </c>
      <c r="F162" s="8" t="s">
        <v>100</v>
      </c>
      <c r="G162" s="8" t="s">
        <v>82</v>
      </c>
      <c r="H162" s="8"/>
      <c r="I162" s="8"/>
      <c r="J162" s="8"/>
      <c r="K162" s="8" t="s">
        <v>926</v>
      </c>
      <c r="L162" s="8" t="s">
        <v>314</v>
      </c>
      <c r="M162" s="8" t="s">
        <v>315</v>
      </c>
      <c r="N162" s="96">
        <f>(850400+477000)/1000</f>
        <v>1327.4</v>
      </c>
      <c r="O162" s="96">
        <f>(850357.88+475507.93)/1000</f>
        <v>1325.86581</v>
      </c>
      <c r="P162" s="96">
        <f>(855000+1860000)/1000</f>
        <v>2715</v>
      </c>
      <c r="Q162" s="96">
        <f>P162*1.06</f>
        <v>2877.9</v>
      </c>
      <c r="R162" s="103">
        <f>Q162*1.059</f>
        <v>3047.6961</v>
      </c>
      <c r="S162" s="103">
        <f>R162*1.052</f>
        <v>3206.1762972</v>
      </c>
    </row>
    <row r="163" spans="1:19" s="3" customFormat="1" ht="60.75" customHeight="1">
      <c r="A163" s="81"/>
      <c r="B163" s="12" t="s">
        <v>516</v>
      </c>
      <c r="C163" s="13"/>
      <c r="D163" s="88" t="s">
        <v>531</v>
      </c>
      <c r="E163" s="8" t="s">
        <v>81</v>
      </c>
      <c r="F163" s="8" t="s">
        <v>100</v>
      </c>
      <c r="G163" s="8" t="s">
        <v>82</v>
      </c>
      <c r="H163" s="8"/>
      <c r="I163" s="8"/>
      <c r="J163" s="8"/>
      <c r="K163" s="8" t="s">
        <v>591</v>
      </c>
      <c r="L163" s="8" t="s">
        <v>431</v>
      </c>
      <c r="M163" s="8" t="s">
        <v>584</v>
      </c>
      <c r="N163" s="96">
        <v>0</v>
      </c>
      <c r="O163" s="96">
        <v>0</v>
      </c>
      <c r="P163" s="96">
        <f>(1050000+1500000)/1000</f>
        <v>2550</v>
      </c>
      <c r="Q163" s="96">
        <f>P163*1.06</f>
        <v>2703</v>
      </c>
      <c r="R163" s="103">
        <f>Q163*1.059</f>
        <v>2862.477</v>
      </c>
      <c r="S163" s="103">
        <f>R163*1.052</f>
        <v>3011.325804</v>
      </c>
    </row>
    <row r="164" spans="1:19" s="3" customFormat="1" ht="87.75" customHeight="1">
      <c r="A164" s="81"/>
      <c r="B164" s="12" t="s">
        <v>454</v>
      </c>
      <c r="C164" s="13"/>
      <c r="D164" s="88" t="s">
        <v>531</v>
      </c>
      <c r="E164" s="8" t="s">
        <v>81</v>
      </c>
      <c r="F164" s="8" t="s">
        <v>100</v>
      </c>
      <c r="G164" s="8" t="s">
        <v>82</v>
      </c>
      <c r="H164" s="8" t="s">
        <v>823</v>
      </c>
      <c r="I164" s="8" t="s">
        <v>821</v>
      </c>
      <c r="J164" s="8" t="s">
        <v>824</v>
      </c>
      <c r="K164" s="79" t="s">
        <v>747</v>
      </c>
      <c r="L164" s="79" t="s">
        <v>748</v>
      </c>
      <c r="M164" s="79" t="s">
        <v>708</v>
      </c>
      <c r="N164" s="96">
        <f>170000/1000</f>
        <v>170</v>
      </c>
      <c r="O164" s="96">
        <f>165952.41/1000</f>
        <v>165.95241000000001</v>
      </c>
      <c r="P164" s="96">
        <f>184000/1000</f>
        <v>184</v>
      </c>
      <c r="Q164" s="96">
        <v>187.4</v>
      </c>
      <c r="R164" s="103">
        <v>187.4</v>
      </c>
      <c r="S164" s="103">
        <v>187.4</v>
      </c>
    </row>
    <row r="165" spans="1:19" s="2" customFormat="1" ht="37.5" customHeight="1">
      <c r="A165" s="80" t="s">
        <v>164</v>
      </c>
      <c r="B165" s="23" t="s">
        <v>203</v>
      </c>
      <c r="C165" s="21"/>
      <c r="D165" s="88" t="s">
        <v>251</v>
      </c>
      <c r="E165" s="8"/>
      <c r="F165" s="8"/>
      <c r="G165" s="8"/>
      <c r="H165" s="8"/>
      <c r="I165" s="8"/>
      <c r="J165" s="8"/>
      <c r="K165" s="8"/>
      <c r="L165" s="8"/>
      <c r="M165" s="8"/>
      <c r="N165" s="95">
        <f aca="true" t="shared" si="18" ref="N165:S165">SUM(N166:N173)</f>
        <v>1343.68514</v>
      </c>
      <c r="O165" s="95">
        <f t="shared" si="18"/>
        <v>1343.6052</v>
      </c>
      <c r="P165" s="95">
        <f t="shared" si="18"/>
        <v>1061</v>
      </c>
      <c r="Q165" s="95">
        <f t="shared" si="18"/>
        <v>859.7</v>
      </c>
      <c r="R165" s="95">
        <f t="shared" si="18"/>
        <v>910.4223</v>
      </c>
      <c r="S165" s="95">
        <f t="shared" si="18"/>
        <v>957.7642596000001</v>
      </c>
    </row>
    <row r="166" spans="1:19" s="3" customFormat="1" ht="36.75" customHeight="1">
      <c r="A166" s="154"/>
      <c r="B166" s="156" t="s">
        <v>532</v>
      </c>
      <c r="C166" s="13"/>
      <c r="D166" s="89" t="s">
        <v>522</v>
      </c>
      <c r="E166" s="150" t="s">
        <v>826</v>
      </c>
      <c r="F166" s="150" t="s">
        <v>101</v>
      </c>
      <c r="G166" s="150" t="s">
        <v>82</v>
      </c>
      <c r="H166" s="150" t="s">
        <v>825</v>
      </c>
      <c r="I166" s="150" t="s">
        <v>827</v>
      </c>
      <c r="J166" s="150" t="s">
        <v>828</v>
      </c>
      <c r="K166" s="150" t="s">
        <v>228</v>
      </c>
      <c r="L166" s="150" t="s">
        <v>431</v>
      </c>
      <c r="M166" s="150" t="s">
        <v>309</v>
      </c>
      <c r="N166" s="98">
        <f>43991.8/1000</f>
        <v>43.991800000000005</v>
      </c>
      <c r="O166" s="98">
        <f>43991.8/1000</f>
        <v>43.991800000000005</v>
      </c>
      <c r="P166" s="98">
        <f>81000/1000</f>
        <v>81</v>
      </c>
      <c r="Q166" s="98">
        <v>276.7</v>
      </c>
      <c r="R166" s="112">
        <f>Q166*1.059</f>
        <v>293.02529999999996</v>
      </c>
      <c r="S166" s="112">
        <f>R166*1.052</f>
        <v>308.26261559999995</v>
      </c>
    </row>
    <row r="167" spans="1:19" s="3" customFormat="1" ht="36.75" customHeight="1">
      <c r="A167" s="155"/>
      <c r="B167" s="157"/>
      <c r="C167" s="47"/>
      <c r="D167" s="92" t="s">
        <v>35</v>
      </c>
      <c r="E167" s="151"/>
      <c r="F167" s="151"/>
      <c r="G167" s="151"/>
      <c r="H167" s="151"/>
      <c r="I167" s="151"/>
      <c r="J167" s="151"/>
      <c r="K167" s="151"/>
      <c r="L167" s="151"/>
      <c r="M167" s="151"/>
      <c r="N167" s="109">
        <f>145212.84/1000</f>
        <v>145.21284</v>
      </c>
      <c r="O167" s="109">
        <f>145212.84/1000</f>
        <v>145.21284</v>
      </c>
      <c r="P167" s="109">
        <f>180000/1000</f>
        <v>180</v>
      </c>
      <c r="Q167" s="109"/>
      <c r="R167" s="113"/>
      <c r="S167" s="113"/>
    </row>
    <row r="168" spans="1:19" s="3" customFormat="1" ht="48.75" customHeight="1">
      <c r="A168" s="174"/>
      <c r="B168" s="156" t="s">
        <v>460</v>
      </c>
      <c r="C168" s="47"/>
      <c r="D168" s="89" t="s">
        <v>338</v>
      </c>
      <c r="E168" s="150" t="s">
        <v>81</v>
      </c>
      <c r="F168" s="150" t="s">
        <v>28</v>
      </c>
      <c r="G168" s="150" t="s">
        <v>82</v>
      </c>
      <c r="H168" s="150" t="s">
        <v>829</v>
      </c>
      <c r="I168" s="150" t="s">
        <v>436</v>
      </c>
      <c r="J168" s="150" t="s">
        <v>830</v>
      </c>
      <c r="K168" s="150" t="s">
        <v>395</v>
      </c>
      <c r="L168" s="186" t="s">
        <v>74</v>
      </c>
      <c r="M168" s="150" t="s">
        <v>293</v>
      </c>
      <c r="N168" s="98">
        <f>650000/1000</f>
        <v>650</v>
      </c>
      <c r="O168" s="98">
        <f>649921.24/1000</f>
        <v>649.92124</v>
      </c>
      <c r="P168" s="98">
        <v>0</v>
      </c>
      <c r="Q168" s="98">
        <v>0</v>
      </c>
      <c r="R168" s="98">
        <v>0</v>
      </c>
      <c r="S168" s="98">
        <v>0</v>
      </c>
    </row>
    <row r="169" spans="1:19" s="3" customFormat="1" ht="50.25" customHeight="1">
      <c r="A169" s="174"/>
      <c r="B169" s="157"/>
      <c r="C169" s="48"/>
      <c r="D169" s="92" t="s">
        <v>35</v>
      </c>
      <c r="E169" s="151"/>
      <c r="F169" s="151"/>
      <c r="G169" s="151"/>
      <c r="H169" s="151"/>
      <c r="I169" s="151"/>
      <c r="J169" s="151"/>
      <c r="K169" s="151"/>
      <c r="L169" s="187"/>
      <c r="M169" s="151"/>
      <c r="N169" s="109">
        <f>50000/1000</f>
        <v>50</v>
      </c>
      <c r="O169" s="109">
        <f>50000/1000</f>
        <v>50</v>
      </c>
      <c r="P169" s="109">
        <v>0</v>
      </c>
      <c r="Q169" s="109">
        <v>0</v>
      </c>
      <c r="R169" s="109">
        <v>0</v>
      </c>
      <c r="S169" s="109">
        <v>0</v>
      </c>
    </row>
    <row r="170" spans="1:19" s="3" customFormat="1" ht="170.25" customHeight="1">
      <c r="A170" s="81"/>
      <c r="B170" s="12" t="s">
        <v>94</v>
      </c>
      <c r="C170" s="13"/>
      <c r="D170" s="88" t="s">
        <v>251</v>
      </c>
      <c r="E170" s="8" t="s">
        <v>81</v>
      </c>
      <c r="F170" s="8" t="s">
        <v>101</v>
      </c>
      <c r="G170" s="8" t="s">
        <v>82</v>
      </c>
      <c r="H170" s="8"/>
      <c r="I170" s="8"/>
      <c r="J170" s="8"/>
      <c r="K170" s="8" t="s">
        <v>749</v>
      </c>
      <c r="L170" s="8" t="s">
        <v>87</v>
      </c>
      <c r="M170" s="8" t="s">
        <v>152</v>
      </c>
      <c r="N170" s="96">
        <f>(175000+15000)/1000</f>
        <v>190</v>
      </c>
      <c r="O170" s="96">
        <f>(174999.27+14999.55)/1000</f>
        <v>189.99881999999997</v>
      </c>
      <c r="P170" s="96">
        <f>330000/1000</f>
        <v>330</v>
      </c>
      <c r="Q170" s="96">
        <f>P170*1.06</f>
        <v>349.8</v>
      </c>
      <c r="R170" s="96">
        <f>Q170*1.059</f>
        <v>370.4382</v>
      </c>
      <c r="S170" s="96">
        <f>R170*1.052</f>
        <v>389.70098640000003</v>
      </c>
    </row>
    <row r="171" spans="1:19" s="6" customFormat="1" ht="84" customHeight="1">
      <c r="A171" s="80"/>
      <c r="B171" s="12" t="s">
        <v>534</v>
      </c>
      <c r="C171" s="13"/>
      <c r="D171" s="88" t="s">
        <v>522</v>
      </c>
      <c r="E171" s="8" t="s">
        <v>831</v>
      </c>
      <c r="F171" s="8" t="s">
        <v>832</v>
      </c>
      <c r="G171" s="8" t="s">
        <v>833</v>
      </c>
      <c r="H171" s="8" t="s">
        <v>834</v>
      </c>
      <c r="I171" s="8" t="s">
        <v>431</v>
      </c>
      <c r="J171" s="8" t="s">
        <v>835</v>
      </c>
      <c r="K171" s="8" t="s">
        <v>206</v>
      </c>
      <c r="L171" s="8"/>
      <c r="M171" s="8"/>
      <c r="N171" s="96">
        <v>0</v>
      </c>
      <c r="O171" s="96">
        <v>0</v>
      </c>
      <c r="P171" s="96">
        <v>250</v>
      </c>
      <c r="Q171" s="96">
        <v>0</v>
      </c>
      <c r="R171" s="96">
        <v>0</v>
      </c>
      <c r="S171" s="96">
        <v>0</v>
      </c>
    </row>
    <row r="172" spans="1:19" s="3" customFormat="1" ht="63.75" customHeight="1">
      <c r="A172" s="81"/>
      <c r="B172" s="12" t="s">
        <v>476</v>
      </c>
      <c r="C172" s="13"/>
      <c r="D172" s="88" t="s">
        <v>338</v>
      </c>
      <c r="E172" s="8" t="s">
        <v>81</v>
      </c>
      <c r="F172" s="8" t="s">
        <v>28</v>
      </c>
      <c r="G172" s="8" t="s">
        <v>82</v>
      </c>
      <c r="H172" s="8"/>
      <c r="I172" s="8"/>
      <c r="J172" s="8"/>
      <c r="K172" s="8" t="s">
        <v>477</v>
      </c>
      <c r="L172" s="8" t="s">
        <v>339</v>
      </c>
      <c r="M172" s="8" t="s">
        <v>478</v>
      </c>
      <c r="N172" s="96">
        <f>(96360+168120.5)/1000</f>
        <v>264.4805</v>
      </c>
      <c r="O172" s="96">
        <f>(96360+168120.5)/1000</f>
        <v>264.4805</v>
      </c>
      <c r="P172" s="96">
        <v>0</v>
      </c>
      <c r="Q172" s="96">
        <v>0</v>
      </c>
      <c r="R172" s="96">
        <v>0</v>
      </c>
      <c r="S172" s="96">
        <v>0</v>
      </c>
    </row>
    <row r="173" spans="1:19" s="3" customFormat="1" ht="61.5" customHeight="1">
      <c r="A173" s="81"/>
      <c r="B173" s="12" t="s">
        <v>476</v>
      </c>
      <c r="C173" s="13"/>
      <c r="D173" s="88" t="s">
        <v>522</v>
      </c>
      <c r="E173" s="8" t="s">
        <v>81</v>
      </c>
      <c r="F173" s="8" t="s">
        <v>28</v>
      </c>
      <c r="G173" s="8" t="s">
        <v>82</v>
      </c>
      <c r="H173" s="8"/>
      <c r="I173" s="8"/>
      <c r="J173" s="8"/>
      <c r="K173" s="62" t="s">
        <v>750</v>
      </c>
      <c r="L173" s="62" t="s">
        <v>347</v>
      </c>
      <c r="M173" s="62" t="s">
        <v>741</v>
      </c>
      <c r="N173" s="96">
        <v>0</v>
      </c>
      <c r="O173" s="96">
        <v>0</v>
      </c>
      <c r="P173" s="96">
        <v>220</v>
      </c>
      <c r="Q173" s="96">
        <f>P173*1.06</f>
        <v>233.20000000000002</v>
      </c>
      <c r="R173" s="103">
        <f>Q173*1.059</f>
        <v>246.9588</v>
      </c>
      <c r="S173" s="103">
        <f>R173*1.052</f>
        <v>259.8006576</v>
      </c>
    </row>
    <row r="174" spans="1:19" s="2" customFormat="1" ht="95.25" customHeight="1">
      <c r="A174" s="80" t="s">
        <v>407</v>
      </c>
      <c r="B174" s="23" t="s">
        <v>83</v>
      </c>
      <c r="C174" s="21"/>
      <c r="D174" s="88"/>
      <c r="E174" s="8"/>
      <c r="F174" s="8"/>
      <c r="G174" s="8"/>
      <c r="H174" s="8"/>
      <c r="I174" s="8"/>
      <c r="J174" s="8"/>
      <c r="K174" s="8"/>
      <c r="L174" s="8"/>
      <c r="M174" s="8"/>
      <c r="N174" s="96"/>
      <c r="O174" s="96"/>
      <c r="P174" s="96"/>
      <c r="Q174" s="105"/>
      <c r="R174" s="106"/>
      <c r="S174" s="106"/>
    </row>
    <row r="175" spans="1:19" s="2" customFormat="1" ht="72.75" customHeight="1">
      <c r="A175" s="80" t="s">
        <v>242</v>
      </c>
      <c r="B175" s="23" t="s">
        <v>78</v>
      </c>
      <c r="C175" s="21"/>
      <c r="D175" s="88"/>
      <c r="E175" s="8"/>
      <c r="F175" s="8"/>
      <c r="G175" s="8"/>
      <c r="H175" s="8"/>
      <c r="I175" s="8"/>
      <c r="J175" s="8"/>
      <c r="K175" s="8"/>
      <c r="L175" s="8"/>
      <c r="M175" s="8"/>
      <c r="N175" s="96"/>
      <c r="O175" s="96"/>
      <c r="P175" s="96"/>
      <c r="Q175" s="105"/>
      <c r="R175" s="106"/>
      <c r="S175" s="106"/>
    </row>
    <row r="176" spans="1:19" s="2" customFormat="1" ht="85.5" customHeight="1">
      <c r="A176" s="80" t="s">
        <v>297</v>
      </c>
      <c r="B176" s="23" t="s">
        <v>19</v>
      </c>
      <c r="C176" s="21"/>
      <c r="D176" s="88"/>
      <c r="E176" s="8"/>
      <c r="F176" s="8"/>
      <c r="G176" s="8"/>
      <c r="H176" s="8"/>
      <c r="I176" s="8"/>
      <c r="J176" s="8"/>
      <c r="K176" s="8"/>
      <c r="L176" s="8"/>
      <c r="M176" s="8"/>
      <c r="N176" s="95">
        <f aca="true" t="shared" si="19" ref="N176:S176">SUM(N177:N220)</f>
        <v>281663.323</v>
      </c>
      <c r="O176" s="95">
        <f t="shared" si="19"/>
        <v>277583.93351</v>
      </c>
      <c r="P176" s="95">
        <f t="shared" si="19"/>
        <v>322992.504</v>
      </c>
      <c r="Q176" s="95">
        <f t="shared" si="19"/>
        <v>319874.60000000003</v>
      </c>
      <c r="R176" s="95">
        <f t="shared" si="19"/>
        <v>315116.1000000001</v>
      </c>
      <c r="S176" s="95">
        <f t="shared" si="19"/>
        <v>315116.1000000001</v>
      </c>
    </row>
    <row r="177" spans="1:19" s="3" customFormat="1" ht="167.25" customHeight="1">
      <c r="A177" s="81" t="s">
        <v>653</v>
      </c>
      <c r="B177" s="12" t="s">
        <v>547</v>
      </c>
      <c r="C177" s="21"/>
      <c r="D177" s="88" t="s">
        <v>346</v>
      </c>
      <c r="E177" s="8" t="s">
        <v>841</v>
      </c>
      <c r="F177" s="8" t="s">
        <v>263</v>
      </c>
      <c r="G177" s="8" t="s">
        <v>473</v>
      </c>
      <c r="H177" s="8" t="s">
        <v>842</v>
      </c>
      <c r="I177" s="8" t="s">
        <v>836</v>
      </c>
      <c r="J177" s="8" t="s">
        <v>837</v>
      </c>
      <c r="K177" s="8" t="s">
        <v>751</v>
      </c>
      <c r="L177" s="8" t="s">
        <v>72</v>
      </c>
      <c r="M177" s="8" t="s">
        <v>148</v>
      </c>
      <c r="N177" s="96">
        <f>746000/1000</f>
        <v>746</v>
      </c>
      <c r="O177" s="96">
        <f>708895.96/1000</f>
        <v>708.89596</v>
      </c>
      <c r="P177" s="96">
        <f>823000/1000</f>
        <v>823</v>
      </c>
      <c r="Q177" s="96">
        <f>793000/1000</f>
        <v>793</v>
      </c>
      <c r="R177" s="103">
        <f>793000/1000</f>
        <v>793</v>
      </c>
      <c r="S177" s="103">
        <f>793000/1000</f>
        <v>793</v>
      </c>
    </row>
    <row r="178" spans="1:19" s="3" customFormat="1" ht="175.5" customHeight="1">
      <c r="A178" s="81" t="s">
        <v>654</v>
      </c>
      <c r="B178" s="12" t="s">
        <v>554</v>
      </c>
      <c r="C178" s="13"/>
      <c r="D178" s="88" t="s">
        <v>522</v>
      </c>
      <c r="E178" s="8" t="s">
        <v>838</v>
      </c>
      <c r="F178" s="8" t="s">
        <v>839</v>
      </c>
      <c r="G178" s="8" t="s">
        <v>840</v>
      </c>
      <c r="H178" s="8" t="s">
        <v>843</v>
      </c>
      <c r="I178" s="8" t="s">
        <v>358</v>
      </c>
      <c r="J178" s="8" t="s">
        <v>359</v>
      </c>
      <c r="K178" s="8" t="s">
        <v>927</v>
      </c>
      <c r="L178" s="11" t="s">
        <v>72</v>
      </c>
      <c r="M178" s="11" t="s">
        <v>555</v>
      </c>
      <c r="N178" s="96">
        <f>108000/1000</f>
        <v>108</v>
      </c>
      <c r="O178" s="96">
        <f>108000/1000</f>
        <v>108</v>
      </c>
      <c r="P178" s="96">
        <f>119000/1000</f>
        <v>119</v>
      </c>
      <c r="Q178" s="96">
        <f>114000/1000</f>
        <v>114</v>
      </c>
      <c r="R178" s="103">
        <f>114000/1000</f>
        <v>114</v>
      </c>
      <c r="S178" s="103">
        <f>114000/1000</f>
        <v>114</v>
      </c>
    </row>
    <row r="179" spans="1:19" s="3" customFormat="1" ht="50.25" customHeight="1" hidden="1">
      <c r="A179" s="81" t="s">
        <v>655</v>
      </c>
      <c r="B179" s="12" t="s">
        <v>656</v>
      </c>
      <c r="C179" s="13"/>
      <c r="D179" s="88"/>
      <c r="E179" s="8"/>
      <c r="F179" s="8"/>
      <c r="G179" s="8"/>
      <c r="H179" s="8"/>
      <c r="I179" s="8"/>
      <c r="J179" s="8"/>
      <c r="K179" s="8"/>
      <c r="L179" s="11"/>
      <c r="M179" s="11"/>
      <c r="N179" s="98"/>
      <c r="O179" s="98"/>
      <c r="P179" s="98"/>
      <c r="Q179" s="98"/>
      <c r="R179" s="112"/>
      <c r="S179" s="112"/>
    </row>
    <row r="180" spans="1:19" s="3" customFormat="1" ht="20.25" customHeight="1">
      <c r="A180" s="154" t="s">
        <v>657</v>
      </c>
      <c r="B180" s="156" t="s">
        <v>658</v>
      </c>
      <c r="C180" s="13"/>
      <c r="D180" s="158" t="s">
        <v>353</v>
      </c>
      <c r="E180" s="150" t="s">
        <v>844</v>
      </c>
      <c r="F180" s="150" t="s">
        <v>118</v>
      </c>
      <c r="G180" s="150" t="s">
        <v>845</v>
      </c>
      <c r="H180" s="150" t="s">
        <v>846</v>
      </c>
      <c r="I180" s="150" t="s">
        <v>847</v>
      </c>
      <c r="J180" s="150" t="s">
        <v>359</v>
      </c>
      <c r="K180" s="150" t="s">
        <v>753</v>
      </c>
      <c r="L180" s="163" t="s">
        <v>557</v>
      </c>
      <c r="M180" s="163" t="s">
        <v>497</v>
      </c>
      <c r="N180" s="98">
        <f>5144300/1000</f>
        <v>5144.3</v>
      </c>
      <c r="O180" s="98">
        <f>5137523.45/1000</f>
        <v>5137.523450000001</v>
      </c>
      <c r="P180" s="152">
        <f>(9070300+12077000)/1000</f>
        <v>21147.3</v>
      </c>
      <c r="Q180" s="152">
        <f>21267800/1000</f>
        <v>21267.8</v>
      </c>
      <c r="R180" s="139">
        <f>22427900/1000</f>
        <v>22427.9</v>
      </c>
      <c r="S180" s="139">
        <f>22427900/1000</f>
        <v>22427.9</v>
      </c>
    </row>
    <row r="181" spans="1:19" s="3" customFormat="1" ht="20.25" customHeight="1">
      <c r="A181" s="167"/>
      <c r="B181" s="182"/>
      <c r="C181" s="13"/>
      <c r="D181" s="183"/>
      <c r="E181" s="160"/>
      <c r="F181" s="160"/>
      <c r="G181" s="160"/>
      <c r="H181" s="160"/>
      <c r="I181" s="160"/>
      <c r="J181" s="160"/>
      <c r="K181" s="160"/>
      <c r="L181" s="164"/>
      <c r="M181" s="164"/>
      <c r="N181" s="99">
        <f>9143200/1000</f>
        <v>9143.2</v>
      </c>
      <c r="O181" s="99">
        <f>9110926.33/1000</f>
        <v>9110.92633</v>
      </c>
      <c r="P181" s="165"/>
      <c r="Q181" s="165"/>
      <c r="R181" s="140"/>
      <c r="S181" s="140"/>
    </row>
    <row r="182" spans="1:19" s="3" customFormat="1" ht="20.25" customHeight="1">
      <c r="A182" s="167"/>
      <c r="B182" s="182"/>
      <c r="C182" s="13"/>
      <c r="D182" s="183"/>
      <c r="E182" s="160"/>
      <c r="F182" s="160"/>
      <c r="G182" s="160"/>
      <c r="H182" s="160"/>
      <c r="I182" s="160"/>
      <c r="J182" s="160"/>
      <c r="K182" s="160"/>
      <c r="L182" s="164"/>
      <c r="M182" s="164"/>
      <c r="N182" s="99">
        <f>1996500/1000</f>
        <v>1996.5</v>
      </c>
      <c r="O182" s="99">
        <f>1996500/1000</f>
        <v>1996.5</v>
      </c>
      <c r="P182" s="165"/>
      <c r="Q182" s="165"/>
      <c r="R182" s="140"/>
      <c r="S182" s="140"/>
    </row>
    <row r="183" spans="1:19" s="3" customFormat="1" ht="20.25" customHeight="1">
      <c r="A183" s="167"/>
      <c r="B183" s="182"/>
      <c r="C183" s="13"/>
      <c r="D183" s="183"/>
      <c r="E183" s="160"/>
      <c r="F183" s="160"/>
      <c r="G183" s="160"/>
      <c r="H183" s="160"/>
      <c r="I183" s="160"/>
      <c r="J183" s="160"/>
      <c r="K183" s="160"/>
      <c r="L183" s="164"/>
      <c r="M183" s="164"/>
      <c r="N183" s="99">
        <f>2439000/1000</f>
        <v>2439</v>
      </c>
      <c r="O183" s="99">
        <f>2439000/1000</f>
        <v>2439</v>
      </c>
      <c r="P183" s="165">
        <f>27059000/1000</f>
        <v>27059</v>
      </c>
      <c r="Q183" s="165">
        <f>24480000/1000</f>
        <v>24480</v>
      </c>
      <c r="R183" s="140">
        <f>25200000/1000</f>
        <v>25200</v>
      </c>
      <c r="S183" s="140">
        <f>25200000/1000</f>
        <v>25200</v>
      </c>
    </row>
    <row r="184" spans="1:19" s="3" customFormat="1" ht="20.25" customHeight="1">
      <c r="A184" s="167"/>
      <c r="B184" s="182"/>
      <c r="C184" s="13"/>
      <c r="D184" s="183"/>
      <c r="E184" s="160"/>
      <c r="F184" s="160"/>
      <c r="G184" s="160"/>
      <c r="H184" s="160"/>
      <c r="I184" s="160"/>
      <c r="J184" s="160"/>
      <c r="K184" s="160"/>
      <c r="L184" s="164"/>
      <c r="M184" s="164"/>
      <c r="N184" s="99">
        <f>10840000/1000</f>
        <v>10840</v>
      </c>
      <c r="O184" s="99">
        <f>10594817.17/1000</f>
        <v>10594.81717</v>
      </c>
      <c r="P184" s="165"/>
      <c r="Q184" s="165"/>
      <c r="R184" s="140"/>
      <c r="S184" s="140"/>
    </row>
    <row r="185" spans="1:19" s="3" customFormat="1" ht="20.25" customHeight="1">
      <c r="A185" s="155"/>
      <c r="B185" s="157"/>
      <c r="C185" s="13"/>
      <c r="D185" s="159"/>
      <c r="E185" s="151"/>
      <c r="F185" s="151"/>
      <c r="G185" s="151"/>
      <c r="H185" s="151"/>
      <c r="I185" s="151"/>
      <c r="J185" s="151"/>
      <c r="K185" s="151"/>
      <c r="L185" s="181"/>
      <c r="M185" s="181"/>
      <c r="N185" s="109">
        <f>3318800/1000</f>
        <v>3318.8</v>
      </c>
      <c r="O185" s="109">
        <f>3318800/1000</f>
        <v>3318.8</v>
      </c>
      <c r="P185" s="153"/>
      <c r="Q185" s="153"/>
      <c r="R185" s="141"/>
      <c r="S185" s="141"/>
    </row>
    <row r="186" spans="1:19" s="3" customFormat="1" ht="138" customHeight="1">
      <c r="A186" s="81" t="s">
        <v>659</v>
      </c>
      <c r="B186" s="12" t="s">
        <v>524</v>
      </c>
      <c r="C186" s="13"/>
      <c r="D186" s="88" t="s">
        <v>537</v>
      </c>
      <c r="E186" s="8" t="s">
        <v>81</v>
      </c>
      <c r="F186" s="8" t="s">
        <v>99</v>
      </c>
      <c r="G186" s="8" t="s">
        <v>82</v>
      </c>
      <c r="H186" s="8" t="s">
        <v>848</v>
      </c>
      <c r="I186" s="8" t="s">
        <v>173</v>
      </c>
      <c r="J186" s="8" t="s">
        <v>359</v>
      </c>
      <c r="K186" s="8" t="s">
        <v>752</v>
      </c>
      <c r="L186" s="11" t="s">
        <v>339</v>
      </c>
      <c r="M186" s="11" t="s">
        <v>551</v>
      </c>
      <c r="N186" s="96">
        <f>21470000/1000</f>
        <v>21470</v>
      </c>
      <c r="O186" s="96">
        <f>21470000/1000</f>
        <v>21470</v>
      </c>
      <c r="P186" s="96">
        <f>21158000/1000</f>
        <v>21158</v>
      </c>
      <c r="Q186" s="96">
        <f>23193000/1000</f>
        <v>23193</v>
      </c>
      <c r="R186" s="103">
        <f>24397000/1000</f>
        <v>24397</v>
      </c>
      <c r="S186" s="103">
        <f>24397000/1000</f>
        <v>24397</v>
      </c>
    </row>
    <row r="187" spans="1:19" s="3" customFormat="1" ht="48" customHeight="1">
      <c r="A187" s="154" t="s">
        <v>660</v>
      </c>
      <c r="B187" s="55" t="s">
        <v>691</v>
      </c>
      <c r="C187" s="21"/>
      <c r="D187" s="89" t="s">
        <v>253</v>
      </c>
      <c r="E187" s="150" t="s">
        <v>907</v>
      </c>
      <c r="F187" s="150" t="s">
        <v>908</v>
      </c>
      <c r="G187" s="150" t="s">
        <v>152</v>
      </c>
      <c r="H187" s="150" t="s">
        <v>849</v>
      </c>
      <c r="I187" s="150" t="s">
        <v>472</v>
      </c>
      <c r="J187" s="150" t="s">
        <v>93</v>
      </c>
      <c r="K187" s="150" t="s">
        <v>754</v>
      </c>
      <c r="L187" s="49" t="s">
        <v>431</v>
      </c>
      <c r="M187" s="150" t="s">
        <v>496</v>
      </c>
      <c r="N187" s="98">
        <f>1400/1000</f>
        <v>1.4</v>
      </c>
      <c r="O187" s="98">
        <f>1400/1000</f>
        <v>1.4</v>
      </c>
      <c r="P187" s="98">
        <f>97600/1000</f>
        <v>97.6</v>
      </c>
      <c r="Q187" s="98">
        <f>97600/1000</f>
        <v>97.6</v>
      </c>
      <c r="R187" s="112">
        <f>97600/1000</f>
        <v>97.6</v>
      </c>
      <c r="S187" s="112">
        <f>97600/1000</f>
        <v>97.6</v>
      </c>
    </row>
    <row r="188" spans="1:19" s="3" customFormat="1" ht="48.75" customHeight="1">
      <c r="A188" s="167"/>
      <c r="B188" s="12" t="s">
        <v>692</v>
      </c>
      <c r="C188" s="21"/>
      <c r="D188" s="88" t="s">
        <v>253</v>
      </c>
      <c r="E188" s="160"/>
      <c r="F188" s="160"/>
      <c r="G188" s="160"/>
      <c r="H188" s="160"/>
      <c r="I188" s="160"/>
      <c r="J188" s="160"/>
      <c r="K188" s="160"/>
      <c r="L188" s="8" t="s">
        <v>431</v>
      </c>
      <c r="M188" s="160"/>
      <c r="N188" s="96">
        <f>60000/1000</f>
        <v>60</v>
      </c>
      <c r="O188" s="96">
        <f>60000/1000</f>
        <v>60</v>
      </c>
      <c r="P188" s="96">
        <f>50000/1000</f>
        <v>50</v>
      </c>
      <c r="Q188" s="96">
        <f>50000/1000</f>
        <v>50</v>
      </c>
      <c r="R188" s="103">
        <f>50000/1000</f>
        <v>50</v>
      </c>
      <c r="S188" s="103">
        <f>50000/1000</f>
        <v>50</v>
      </c>
    </row>
    <row r="189" spans="1:19" s="3" customFormat="1" ht="37.5" customHeight="1">
      <c r="A189" s="167"/>
      <c r="B189" s="12" t="s">
        <v>693</v>
      </c>
      <c r="C189" s="21"/>
      <c r="D189" s="88" t="s">
        <v>253</v>
      </c>
      <c r="E189" s="160"/>
      <c r="F189" s="160"/>
      <c r="G189" s="160"/>
      <c r="H189" s="160"/>
      <c r="I189" s="160"/>
      <c r="J189" s="160"/>
      <c r="K189" s="160"/>
      <c r="L189" s="8" t="s">
        <v>431</v>
      </c>
      <c r="M189" s="160"/>
      <c r="N189" s="96">
        <v>0</v>
      </c>
      <c r="O189" s="96">
        <v>0</v>
      </c>
      <c r="P189" s="96">
        <f>158000/1000</f>
        <v>158</v>
      </c>
      <c r="Q189" s="96">
        <f>158000/1000</f>
        <v>158</v>
      </c>
      <c r="R189" s="103">
        <f>158000/1000</f>
        <v>158</v>
      </c>
      <c r="S189" s="103">
        <f>158000/1000</f>
        <v>158</v>
      </c>
    </row>
    <row r="190" spans="1:19" s="3" customFormat="1" ht="36.75" customHeight="1">
      <c r="A190" s="167"/>
      <c r="B190" s="12" t="s">
        <v>694</v>
      </c>
      <c r="C190" s="21"/>
      <c r="D190" s="88" t="s">
        <v>346</v>
      </c>
      <c r="E190" s="160"/>
      <c r="F190" s="160"/>
      <c r="G190" s="160"/>
      <c r="H190" s="160"/>
      <c r="I190" s="160"/>
      <c r="J190" s="160"/>
      <c r="K190" s="160"/>
      <c r="L190" s="8" t="s">
        <v>431</v>
      </c>
      <c r="M190" s="160"/>
      <c r="N190" s="96">
        <f>591000/1000</f>
        <v>591</v>
      </c>
      <c r="O190" s="96">
        <f>441549.63/1000</f>
        <v>441.54963</v>
      </c>
      <c r="P190" s="96">
        <f>653000/1000</f>
        <v>653</v>
      </c>
      <c r="Q190" s="96">
        <f>629000/1000</f>
        <v>629</v>
      </c>
      <c r="R190" s="103">
        <f>629000/1000</f>
        <v>629</v>
      </c>
      <c r="S190" s="103">
        <f>629000/1000</f>
        <v>629</v>
      </c>
    </row>
    <row r="191" spans="1:19" s="3" customFormat="1" ht="135.75" customHeight="1">
      <c r="A191" s="167"/>
      <c r="B191" s="12" t="s">
        <v>928</v>
      </c>
      <c r="C191" s="21"/>
      <c r="D191" s="88"/>
      <c r="E191" s="160"/>
      <c r="F191" s="160"/>
      <c r="G191" s="160"/>
      <c r="H191" s="160"/>
      <c r="I191" s="160"/>
      <c r="J191" s="160"/>
      <c r="K191" s="160"/>
      <c r="L191" s="8" t="s">
        <v>431</v>
      </c>
      <c r="M191" s="160"/>
      <c r="N191" s="98"/>
      <c r="O191" s="98"/>
      <c r="P191" s="98">
        <f>464000/1000</f>
        <v>464</v>
      </c>
      <c r="Q191" s="98"/>
      <c r="R191" s="112"/>
      <c r="S191" s="112"/>
    </row>
    <row r="192" spans="1:19" s="3" customFormat="1" ht="66.75" customHeight="1">
      <c r="A192" s="167"/>
      <c r="B192" s="173" t="s">
        <v>695</v>
      </c>
      <c r="C192" s="13"/>
      <c r="D192" s="177" t="s">
        <v>253</v>
      </c>
      <c r="E192" s="160"/>
      <c r="F192" s="160"/>
      <c r="G192" s="160"/>
      <c r="H192" s="160"/>
      <c r="I192" s="160"/>
      <c r="J192" s="160"/>
      <c r="K192" s="160"/>
      <c r="L192" s="166" t="s">
        <v>431</v>
      </c>
      <c r="M192" s="160"/>
      <c r="N192" s="98">
        <f>61500/1000</f>
        <v>61.5</v>
      </c>
      <c r="O192" s="98">
        <f>61500/1000</f>
        <v>61.5</v>
      </c>
      <c r="P192" s="98">
        <f>150600/1000</f>
        <v>150.6</v>
      </c>
      <c r="Q192" s="98">
        <f>149400/1000</f>
        <v>149.4</v>
      </c>
      <c r="R192" s="112">
        <f>149400/1000</f>
        <v>149.4</v>
      </c>
      <c r="S192" s="112">
        <f>149400/1000</f>
        <v>149.4</v>
      </c>
    </row>
    <row r="193" spans="1:19" s="3" customFormat="1" ht="66.75" customHeight="1">
      <c r="A193" s="155"/>
      <c r="B193" s="173"/>
      <c r="C193" s="13"/>
      <c r="D193" s="177"/>
      <c r="E193" s="151"/>
      <c r="F193" s="151"/>
      <c r="G193" s="151"/>
      <c r="H193" s="151"/>
      <c r="I193" s="151"/>
      <c r="J193" s="151"/>
      <c r="K193" s="151"/>
      <c r="L193" s="166"/>
      <c r="M193" s="151"/>
      <c r="N193" s="109">
        <f>1167500/1000</f>
        <v>1167.5</v>
      </c>
      <c r="O193" s="109">
        <f>1167500/1000</f>
        <v>1167.5</v>
      </c>
      <c r="P193" s="109">
        <v>0</v>
      </c>
      <c r="Q193" s="109">
        <v>0</v>
      </c>
      <c r="R193" s="109">
        <v>0</v>
      </c>
      <c r="S193" s="109">
        <v>0</v>
      </c>
    </row>
    <row r="194" spans="1:19" s="3" customFormat="1" ht="60.75" customHeight="1" hidden="1">
      <c r="A194" s="84" t="s">
        <v>662</v>
      </c>
      <c r="B194" s="12" t="s">
        <v>661</v>
      </c>
      <c r="C194" s="21"/>
      <c r="D194" s="88"/>
      <c r="E194" s="8"/>
      <c r="F194" s="8"/>
      <c r="G194" s="8"/>
      <c r="H194" s="8"/>
      <c r="I194" s="8"/>
      <c r="J194" s="8"/>
      <c r="K194" s="8"/>
      <c r="L194" s="8"/>
      <c r="M194" s="51"/>
      <c r="N194" s="98"/>
      <c r="O194" s="98"/>
      <c r="P194" s="98"/>
      <c r="Q194" s="98"/>
      <c r="R194" s="112"/>
      <c r="S194" s="112"/>
    </row>
    <row r="195" spans="1:19" s="3" customFormat="1" ht="46.5" customHeight="1">
      <c r="A195" s="174" t="s">
        <v>663</v>
      </c>
      <c r="B195" s="173" t="s">
        <v>550</v>
      </c>
      <c r="C195" s="179"/>
      <c r="D195" s="89" t="s">
        <v>386</v>
      </c>
      <c r="E195" s="166" t="s">
        <v>466</v>
      </c>
      <c r="F195" s="166" t="s">
        <v>118</v>
      </c>
      <c r="G195" s="166" t="s">
        <v>468</v>
      </c>
      <c r="H195" s="150" t="s">
        <v>850</v>
      </c>
      <c r="I195" s="150" t="s">
        <v>145</v>
      </c>
      <c r="J195" s="150" t="s">
        <v>117</v>
      </c>
      <c r="K195" s="166" t="s">
        <v>766</v>
      </c>
      <c r="L195" s="166" t="s">
        <v>30</v>
      </c>
      <c r="M195" s="178" t="s">
        <v>399</v>
      </c>
      <c r="N195" s="101">
        <f>4074000/1000</f>
        <v>4074</v>
      </c>
      <c r="O195" s="101">
        <f>3667416.36/1000</f>
        <v>3667.4163599999997</v>
      </c>
      <c r="P195" s="101">
        <f>4644000/1000</f>
        <v>4644</v>
      </c>
      <c r="Q195" s="101">
        <f>4644000/1000</f>
        <v>4644</v>
      </c>
      <c r="R195" s="101">
        <f>4644000/1000</f>
        <v>4644</v>
      </c>
      <c r="S195" s="101">
        <f>4644000/1000</f>
        <v>4644</v>
      </c>
    </row>
    <row r="196" spans="1:19" s="3" customFormat="1" ht="46.5" customHeight="1">
      <c r="A196" s="174"/>
      <c r="B196" s="173"/>
      <c r="C196" s="179"/>
      <c r="D196" s="90" t="s">
        <v>35</v>
      </c>
      <c r="E196" s="166"/>
      <c r="F196" s="166"/>
      <c r="G196" s="166"/>
      <c r="H196" s="160"/>
      <c r="I196" s="160"/>
      <c r="J196" s="160"/>
      <c r="K196" s="166"/>
      <c r="L196" s="166"/>
      <c r="M196" s="178"/>
      <c r="N196" s="124">
        <f>13298000/1000</f>
        <v>13298</v>
      </c>
      <c r="O196" s="124">
        <f>11831954.02/1000</f>
        <v>11831.95402</v>
      </c>
      <c r="P196" s="124">
        <f>15091000/1000</f>
        <v>15091</v>
      </c>
      <c r="Q196" s="124">
        <f>15091000/1000</f>
        <v>15091</v>
      </c>
      <c r="R196" s="124">
        <f>15091000/1000</f>
        <v>15091</v>
      </c>
      <c r="S196" s="124">
        <f>15091000/1000</f>
        <v>15091</v>
      </c>
    </row>
    <row r="197" spans="1:19" s="3" customFormat="1" ht="46.5" customHeight="1">
      <c r="A197" s="174"/>
      <c r="B197" s="173"/>
      <c r="C197" s="179"/>
      <c r="D197" s="90" t="s">
        <v>35</v>
      </c>
      <c r="E197" s="166"/>
      <c r="F197" s="166"/>
      <c r="G197" s="166"/>
      <c r="H197" s="151"/>
      <c r="I197" s="151"/>
      <c r="J197" s="151"/>
      <c r="K197" s="166"/>
      <c r="L197" s="166"/>
      <c r="M197" s="178"/>
      <c r="N197" s="124">
        <f>2526000/1000</f>
        <v>2526</v>
      </c>
      <c r="O197" s="124">
        <f>2431575.01/1000</f>
        <v>2431.5750099999996</v>
      </c>
      <c r="P197" s="124">
        <f>3158000/1000</f>
        <v>3158</v>
      </c>
      <c r="Q197" s="124">
        <f>3158000/1000</f>
        <v>3158</v>
      </c>
      <c r="R197" s="124">
        <f>3158000/1000</f>
        <v>3158</v>
      </c>
      <c r="S197" s="124">
        <f>3158000/1000</f>
        <v>3158</v>
      </c>
    </row>
    <row r="198" spans="1:19" s="3" customFormat="1" ht="233.25" customHeight="1">
      <c r="A198" s="81" t="s">
        <v>664</v>
      </c>
      <c r="B198" s="12" t="s">
        <v>564</v>
      </c>
      <c r="C198" s="13"/>
      <c r="D198" s="88" t="s">
        <v>35</v>
      </c>
      <c r="E198" s="8" t="s">
        <v>851</v>
      </c>
      <c r="F198" s="8" t="s">
        <v>136</v>
      </c>
      <c r="G198" s="8" t="s">
        <v>852</v>
      </c>
      <c r="H198" s="8" t="s">
        <v>855</v>
      </c>
      <c r="I198" s="8" t="s">
        <v>243</v>
      </c>
      <c r="J198" s="8" t="s">
        <v>853</v>
      </c>
      <c r="K198" s="8" t="s">
        <v>422</v>
      </c>
      <c r="L198" s="8" t="s">
        <v>30</v>
      </c>
      <c r="M198" s="11" t="s">
        <v>423</v>
      </c>
      <c r="N198" s="96">
        <f>6981000/1000</f>
        <v>6981</v>
      </c>
      <c r="O198" s="96">
        <f>6759644.86/1000</f>
        <v>6759.64486</v>
      </c>
      <c r="P198" s="96">
        <f>7302000/1000</f>
        <v>7302</v>
      </c>
      <c r="Q198" s="96">
        <v>0</v>
      </c>
      <c r="R198" s="96">
        <v>0</v>
      </c>
      <c r="S198" s="96">
        <v>0</v>
      </c>
    </row>
    <row r="199" spans="1:19" s="3" customFormat="1" ht="98.25" customHeight="1">
      <c r="A199" s="81" t="s">
        <v>665</v>
      </c>
      <c r="B199" s="12" t="s">
        <v>563</v>
      </c>
      <c r="C199" s="13"/>
      <c r="D199" s="88" t="s">
        <v>35</v>
      </c>
      <c r="E199" s="8" t="s">
        <v>131</v>
      </c>
      <c r="F199" s="8" t="s">
        <v>133</v>
      </c>
      <c r="G199" s="8" t="s">
        <v>132</v>
      </c>
      <c r="H199" s="8" t="s">
        <v>855</v>
      </c>
      <c r="I199" s="8" t="s">
        <v>243</v>
      </c>
      <c r="J199" s="8" t="s">
        <v>161</v>
      </c>
      <c r="K199" s="8" t="s">
        <v>422</v>
      </c>
      <c r="L199" s="8" t="s">
        <v>511</v>
      </c>
      <c r="M199" s="11" t="s">
        <v>423</v>
      </c>
      <c r="N199" s="96">
        <f>226000/1000</f>
        <v>226</v>
      </c>
      <c r="O199" s="96">
        <f>212368.24/1000</f>
        <v>212.36824</v>
      </c>
      <c r="P199" s="96">
        <f>267000/1000</f>
        <v>267</v>
      </c>
      <c r="Q199" s="96">
        <f>275000/1000</f>
        <v>275</v>
      </c>
      <c r="R199" s="103">
        <f>275000/1000</f>
        <v>275</v>
      </c>
      <c r="S199" s="103">
        <f>275000/1000</f>
        <v>275</v>
      </c>
    </row>
    <row r="200" spans="1:19" s="3" customFormat="1" ht="158.25" customHeight="1">
      <c r="A200" s="81" t="s">
        <v>666</v>
      </c>
      <c r="B200" s="12" t="s">
        <v>562</v>
      </c>
      <c r="C200" s="13"/>
      <c r="D200" s="88" t="s">
        <v>35</v>
      </c>
      <c r="E200" s="8" t="s">
        <v>466</v>
      </c>
      <c r="F200" s="8" t="s">
        <v>854</v>
      </c>
      <c r="G200" s="8" t="s">
        <v>468</v>
      </c>
      <c r="H200" s="8" t="s">
        <v>856</v>
      </c>
      <c r="I200" s="8" t="s">
        <v>244</v>
      </c>
      <c r="J200" s="8" t="s">
        <v>213</v>
      </c>
      <c r="K200" s="8" t="s">
        <v>714</v>
      </c>
      <c r="L200" s="8" t="s">
        <v>154</v>
      </c>
      <c r="M200" s="11" t="s">
        <v>498</v>
      </c>
      <c r="N200" s="96">
        <f>(173130770+661950+10341280)/1000</f>
        <v>184134</v>
      </c>
      <c r="O200" s="96">
        <f>(173123818.76+661850+10339395.9)/1000</f>
        <v>184125.06466</v>
      </c>
      <c r="P200" s="96">
        <f>205640000/1000</f>
        <v>205640</v>
      </c>
      <c r="Q200" s="96">
        <f>210268000/1000</f>
        <v>210268</v>
      </c>
      <c r="R200" s="103">
        <f>210268000/1000</f>
        <v>210268</v>
      </c>
      <c r="S200" s="103">
        <f>210268000/1000</f>
        <v>210268</v>
      </c>
    </row>
    <row r="201" spans="1:19" s="3" customFormat="1" ht="157.5" customHeight="1">
      <c r="A201" s="81" t="s">
        <v>667</v>
      </c>
      <c r="B201" s="12" t="s">
        <v>548</v>
      </c>
      <c r="C201" s="21"/>
      <c r="D201" s="88" t="s">
        <v>346</v>
      </c>
      <c r="E201" s="8" t="s">
        <v>857</v>
      </c>
      <c r="F201" s="8" t="s">
        <v>858</v>
      </c>
      <c r="G201" s="11" t="s">
        <v>859</v>
      </c>
      <c r="H201" s="8" t="s">
        <v>860</v>
      </c>
      <c r="I201" s="8" t="s">
        <v>76</v>
      </c>
      <c r="J201" s="8" t="s">
        <v>77</v>
      </c>
      <c r="K201" s="8" t="s">
        <v>765</v>
      </c>
      <c r="L201" s="62" t="s">
        <v>173</v>
      </c>
      <c r="M201" s="62" t="s">
        <v>708</v>
      </c>
      <c r="N201" s="96">
        <f>39000/1000</f>
        <v>39</v>
      </c>
      <c r="O201" s="96">
        <f>38310.68/1000</f>
        <v>38.31068</v>
      </c>
      <c r="P201" s="96">
        <f>43000/1000</f>
        <v>43</v>
      </c>
      <c r="Q201" s="96">
        <f>41000/1000</f>
        <v>41</v>
      </c>
      <c r="R201" s="103">
        <f>41000/1000</f>
        <v>41</v>
      </c>
      <c r="S201" s="103">
        <f>41000/1000</f>
        <v>41</v>
      </c>
    </row>
    <row r="202" spans="1:19" s="3" customFormat="1" ht="185.25" customHeight="1">
      <c r="A202" s="81" t="s">
        <v>668</v>
      </c>
      <c r="B202" s="12" t="s">
        <v>552</v>
      </c>
      <c r="C202" s="13"/>
      <c r="D202" s="88" t="s">
        <v>489</v>
      </c>
      <c r="E202" s="8" t="s">
        <v>142</v>
      </c>
      <c r="F202" s="8" t="s">
        <v>143</v>
      </c>
      <c r="G202" s="8" t="s">
        <v>144</v>
      </c>
      <c r="H202" s="8" t="s">
        <v>861</v>
      </c>
      <c r="I202" s="8" t="s">
        <v>140</v>
      </c>
      <c r="J202" s="11" t="s">
        <v>141</v>
      </c>
      <c r="K202" s="8" t="s">
        <v>764</v>
      </c>
      <c r="L202" s="11" t="s">
        <v>361</v>
      </c>
      <c r="M202" s="11" t="s">
        <v>424</v>
      </c>
      <c r="N202" s="96">
        <f>17000/1000</f>
        <v>17</v>
      </c>
      <c r="O202" s="96">
        <f>17000/1000</f>
        <v>17</v>
      </c>
      <c r="P202" s="96">
        <f>18600/1000</f>
        <v>18.6</v>
      </c>
      <c r="Q202" s="96">
        <f>18000/1000</f>
        <v>18</v>
      </c>
      <c r="R202" s="103">
        <f>18000/1000</f>
        <v>18</v>
      </c>
      <c r="S202" s="103">
        <f>18000/1000</f>
        <v>18</v>
      </c>
    </row>
    <row r="203" spans="1:19" s="3" customFormat="1" ht="26.25" customHeight="1" hidden="1">
      <c r="A203" s="81" t="s">
        <v>669</v>
      </c>
      <c r="B203" s="12" t="s">
        <v>670</v>
      </c>
      <c r="C203" s="13"/>
      <c r="D203" s="88"/>
      <c r="E203" s="8"/>
      <c r="F203" s="8"/>
      <c r="G203" s="8"/>
      <c r="H203" s="8"/>
      <c r="I203" s="8"/>
      <c r="J203" s="11"/>
      <c r="K203" s="8"/>
      <c r="L203" s="11"/>
      <c r="M203" s="11"/>
      <c r="N203" s="98"/>
      <c r="O203" s="98"/>
      <c r="P203" s="98"/>
      <c r="Q203" s="98"/>
      <c r="R203" s="112"/>
      <c r="S203" s="112"/>
    </row>
    <row r="204" spans="1:19" s="3" customFormat="1" ht="145.5" customHeight="1">
      <c r="A204" s="81" t="s">
        <v>671</v>
      </c>
      <c r="B204" s="12" t="s">
        <v>331</v>
      </c>
      <c r="C204" s="13"/>
      <c r="D204" s="88" t="s">
        <v>225</v>
      </c>
      <c r="E204" s="8" t="s">
        <v>862</v>
      </c>
      <c r="F204" s="8" t="s">
        <v>263</v>
      </c>
      <c r="G204" s="11" t="s">
        <v>256</v>
      </c>
      <c r="H204" s="8" t="s">
        <v>863</v>
      </c>
      <c r="I204" s="8" t="s">
        <v>154</v>
      </c>
      <c r="J204" s="8" t="s">
        <v>161</v>
      </c>
      <c r="K204" s="8" t="s">
        <v>763</v>
      </c>
      <c r="L204" s="8" t="s">
        <v>431</v>
      </c>
      <c r="M204" s="8" t="s">
        <v>566</v>
      </c>
      <c r="N204" s="96">
        <f>26468/1000</f>
        <v>26.468</v>
      </c>
      <c r="O204" s="96">
        <f>991/1000</f>
        <v>0.991</v>
      </c>
      <c r="P204" s="96">
        <f>9174/1000</f>
        <v>9.174</v>
      </c>
      <c r="Q204" s="96">
        <v>0</v>
      </c>
      <c r="R204" s="96">
        <v>0</v>
      </c>
      <c r="S204" s="96">
        <v>0</v>
      </c>
    </row>
    <row r="205" spans="1:19" s="3" customFormat="1" ht="39" customHeight="1" hidden="1">
      <c r="A205" s="81" t="s">
        <v>672</v>
      </c>
      <c r="B205" s="12" t="s">
        <v>673</v>
      </c>
      <c r="C205" s="13"/>
      <c r="D205" s="88"/>
      <c r="E205" s="8"/>
      <c r="F205" s="8"/>
      <c r="G205" s="11"/>
      <c r="H205" s="8"/>
      <c r="I205" s="8"/>
      <c r="J205" s="8"/>
      <c r="K205" s="8"/>
      <c r="L205" s="8"/>
      <c r="M205" s="8"/>
      <c r="N205" s="98"/>
      <c r="O205" s="98"/>
      <c r="P205" s="98"/>
      <c r="Q205" s="98"/>
      <c r="R205" s="98"/>
      <c r="S205" s="98"/>
    </row>
    <row r="206" spans="1:19" s="3" customFormat="1" ht="120" customHeight="1" hidden="1">
      <c r="A206" s="81" t="s">
        <v>674</v>
      </c>
      <c r="B206" s="12" t="s">
        <v>675</v>
      </c>
      <c r="C206" s="13"/>
      <c r="D206" s="88"/>
      <c r="E206" s="8"/>
      <c r="F206" s="8"/>
      <c r="G206" s="11"/>
      <c r="H206" s="8"/>
      <c r="I206" s="8"/>
      <c r="J206" s="8"/>
      <c r="K206" s="8"/>
      <c r="L206" s="8"/>
      <c r="M206" s="8"/>
      <c r="N206" s="98"/>
      <c r="O206" s="98"/>
      <c r="P206" s="98"/>
      <c r="Q206" s="98"/>
      <c r="R206" s="98"/>
      <c r="S206" s="98"/>
    </row>
    <row r="207" spans="1:19" s="3" customFormat="1" ht="75" customHeight="1" hidden="1">
      <c r="A207" s="81" t="s">
        <v>676</v>
      </c>
      <c r="B207" s="12" t="s">
        <v>677</v>
      </c>
      <c r="C207" s="13"/>
      <c r="D207" s="88"/>
      <c r="E207" s="8"/>
      <c r="F207" s="8"/>
      <c r="G207" s="11"/>
      <c r="H207" s="8"/>
      <c r="I207" s="8"/>
      <c r="J207" s="8"/>
      <c r="K207" s="8"/>
      <c r="L207" s="8"/>
      <c r="M207" s="8"/>
      <c r="N207" s="98"/>
      <c r="O207" s="98"/>
      <c r="P207" s="98"/>
      <c r="Q207" s="98"/>
      <c r="R207" s="98"/>
      <c r="S207" s="98"/>
    </row>
    <row r="208" spans="1:19" s="3" customFormat="1" ht="135.75" customHeight="1" hidden="1">
      <c r="A208" s="81" t="s">
        <v>678</v>
      </c>
      <c r="B208" s="12" t="s">
        <v>679</v>
      </c>
      <c r="C208" s="13"/>
      <c r="D208" s="88"/>
      <c r="E208" s="8"/>
      <c r="F208" s="8"/>
      <c r="G208" s="11"/>
      <c r="H208" s="8"/>
      <c r="I208" s="8"/>
      <c r="J208" s="8"/>
      <c r="K208" s="8"/>
      <c r="L208" s="8"/>
      <c r="M208" s="8"/>
      <c r="N208" s="98"/>
      <c r="O208" s="98"/>
      <c r="P208" s="98"/>
      <c r="Q208" s="98"/>
      <c r="R208" s="98"/>
      <c r="S208" s="98"/>
    </row>
    <row r="209" spans="1:19" s="3" customFormat="1" ht="39.75" customHeight="1" hidden="1">
      <c r="A209" s="81" t="s">
        <v>680</v>
      </c>
      <c r="B209" s="12" t="s">
        <v>681</v>
      </c>
      <c r="C209" s="13"/>
      <c r="D209" s="88"/>
      <c r="E209" s="8"/>
      <c r="F209" s="8"/>
      <c r="G209" s="11"/>
      <c r="H209" s="8"/>
      <c r="I209" s="8"/>
      <c r="J209" s="8"/>
      <c r="K209" s="8"/>
      <c r="L209" s="8"/>
      <c r="M209" s="8"/>
      <c r="N209" s="98"/>
      <c r="O209" s="98"/>
      <c r="P209" s="98"/>
      <c r="Q209" s="98"/>
      <c r="R209" s="98"/>
      <c r="S209" s="98"/>
    </row>
    <row r="210" spans="1:19" s="3" customFormat="1" ht="120" customHeight="1">
      <c r="A210" s="81" t="s">
        <v>682</v>
      </c>
      <c r="B210" s="12" t="s">
        <v>556</v>
      </c>
      <c r="C210" s="21"/>
      <c r="D210" s="88" t="s">
        <v>346</v>
      </c>
      <c r="E210" s="8" t="s">
        <v>350</v>
      </c>
      <c r="F210" s="8" t="s">
        <v>351</v>
      </c>
      <c r="G210" s="8" t="s">
        <v>352</v>
      </c>
      <c r="H210" s="8" t="s">
        <v>287</v>
      </c>
      <c r="I210" s="8" t="s">
        <v>263</v>
      </c>
      <c r="J210" s="8" t="s">
        <v>288</v>
      </c>
      <c r="K210" s="8" t="s">
        <v>755</v>
      </c>
      <c r="L210" s="8" t="s">
        <v>431</v>
      </c>
      <c r="M210" s="8" t="s">
        <v>341</v>
      </c>
      <c r="N210" s="96">
        <f>2572300/1000</f>
        <v>2572.3</v>
      </c>
      <c r="O210" s="96">
        <f>2521044.36/1000</f>
        <v>2521.04436</v>
      </c>
      <c r="P210" s="96">
        <f>3313000/1000</f>
        <v>3313</v>
      </c>
      <c r="Q210" s="96">
        <f>3202800/1000</f>
        <v>3202.8</v>
      </c>
      <c r="R210" s="103">
        <f>3202800/1000</f>
        <v>3202.8</v>
      </c>
      <c r="S210" s="103">
        <f>3202800/1000</f>
        <v>3202.8</v>
      </c>
    </row>
    <row r="211" spans="1:19" s="3" customFormat="1" ht="109.5" customHeight="1">
      <c r="A211" s="81" t="s">
        <v>683</v>
      </c>
      <c r="B211" s="12" t="s">
        <v>451</v>
      </c>
      <c r="C211" s="21"/>
      <c r="D211" s="88" t="s">
        <v>346</v>
      </c>
      <c r="E211" s="8" t="s">
        <v>350</v>
      </c>
      <c r="F211" s="8" t="s">
        <v>351</v>
      </c>
      <c r="G211" s="8" t="s">
        <v>352</v>
      </c>
      <c r="H211" s="8" t="s">
        <v>864</v>
      </c>
      <c r="I211" s="8" t="s">
        <v>349</v>
      </c>
      <c r="J211" s="8" t="s">
        <v>348</v>
      </c>
      <c r="K211" s="8" t="s">
        <v>756</v>
      </c>
      <c r="L211" s="8" t="s">
        <v>431</v>
      </c>
      <c r="M211" s="8" t="s">
        <v>380</v>
      </c>
      <c r="N211" s="96">
        <f>18900/1000</f>
        <v>18.9</v>
      </c>
      <c r="O211" s="96">
        <f>13200.37/1000</f>
        <v>13.200370000000001</v>
      </c>
      <c r="P211" s="96">
        <f>19900/1000</f>
        <v>19.9</v>
      </c>
      <c r="Q211" s="96">
        <f>18900/1000</f>
        <v>18.9</v>
      </c>
      <c r="R211" s="103">
        <f>18900/1000</f>
        <v>18.9</v>
      </c>
      <c r="S211" s="103">
        <f>18900/1000</f>
        <v>18.9</v>
      </c>
    </row>
    <row r="212" spans="1:19" s="3" customFormat="1" ht="144.75" customHeight="1">
      <c r="A212" s="81" t="s">
        <v>684</v>
      </c>
      <c r="B212" s="12" t="s">
        <v>565</v>
      </c>
      <c r="C212" s="13"/>
      <c r="D212" s="88" t="s">
        <v>16</v>
      </c>
      <c r="E212" s="8" t="s">
        <v>466</v>
      </c>
      <c r="F212" s="8" t="s">
        <v>865</v>
      </c>
      <c r="G212" s="8" t="s">
        <v>468</v>
      </c>
      <c r="H212" s="8" t="s">
        <v>866</v>
      </c>
      <c r="I212" s="8" t="s">
        <v>867</v>
      </c>
      <c r="J212" s="8" t="s">
        <v>868</v>
      </c>
      <c r="K212" s="8" t="s">
        <v>762</v>
      </c>
      <c r="L212" s="8" t="s">
        <v>431</v>
      </c>
      <c r="M212" s="11" t="s">
        <v>372</v>
      </c>
      <c r="N212" s="96">
        <f>426100/1000</f>
        <v>426.1</v>
      </c>
      <c r="O212" s="96">
        <f>425174.55/1000</f>
        <v>425.17455</v>
      </c>
      <c r="P212" s="96">
        <v>0</v>
      </c>
      <c r="Q212" s="96">
        <v>0</v>
      </c>
      <c r="R212" s="103">
        <v>0</v>
      </c>
      <c r="S212" s="103">
        <v>0</v>
      </c>
    </row>
    <row r="213" spans="1:19" s="3" customFormat="1" ht="87.75" customHeight="1">
      <c r="A213" s="174" t="s">
        <v>685</v>
      </c>
      <c r="B213" s="173" t="s">
        <v>558</v>
      </c>
      <c r="C213" s="13"/>
      <c r="D213" s="89" t="s">
        <v>448</v>
      </c>
      <c r="E213" s="150" t="s">
        <v>81</v>
      </c>
      <c r="F213" s="150" t="s">
        <v>98</v>
      </c>
      <c r="G213" s="150" t="s">
        <v>82</v>
      </c>
      <c r="H213" s="150" t="s">
        <v>870</v>
      </c>
      <c r="I213" s="150" t="s">
        <v>243</v>
      </c>
      <c r="J213" s="150" t="s">
        <v>869</v>
      </c>
      <c r="K213" s="184" t="s">
        <v>761</v>
      </c>
      <c r="L213" s="150" t="s">
        <v>136</v>
      </c>
      <c r="M213" s="163" t="s">
        <v>559</v>
      </c>
      <c r="N213" s="98">
        <f>5901200/1000</f>
        <v>5901.2</v>
      </c>
      <c r="O213" s="98">
        <f>5032168.56/1000</f>
        <v>5032.168559999999</v>
      </c>
      <c r="P213" s="98">
        <f>5775500/1000</f>
        <v>5775.5</v>
      </c>
      <c r="Q213" s="98">
        <f>5775500/1000</f>
        <v>5775.5</v>
      </c>
      <c r="R213" s="98">
        <v>0</v>
      </c>
      <c r="S213" s="98">
        <v>0</v>
      </c>
    </row>
    <row r="214" spans="1:19" s="3" customFormat="1" ht="87.75" customHeight="1">
      <c r="A214" s="174"/>
      <c r="B214" s="173"/>
      <c r="C214" s="13"/>
      <c r="D214" s="92" t="s">
        <v>250</v>
      </c>
      <c r="E214" s="151"/>
      <c r="F214" s="151"/>
      <c r="G214" s="151"/>
      <c r="H214" s="151"/>
      <c r="I214" s="151"/>
      <c r="J214" s="151"/>
      <c r="K214" s="185"/>
      <c r="L214" s="151"/>
      <c r="M214" s="181"/>
      <c r="N214" s="109">
        <f>2710800/1000</f>
        <v>2710.8</v>
      </c>
      <c r="O214" s="109">
        <f>2387078.11/1000</f>
        <v>2387.07811</v>
      </c>
      <c r="P214" s="109">
        <f>2724500/1000</f>
        <v>2724.5</v>
      </c>
      <c r="Q214" s="109">
        <f>2724500/1000</f>
        <v>2724.5</v>
      </c>
      <c r="R214" s="109">
        <v>0</v>
      </c>
      <c r="S214" s="109">
        <v>0</v>
      </c>
    </row>
    <row r="215" spans="1:19" s="3" customFormat="1" ht="123" customHeight="1">
      <c r="A215" s="81" t="s">
        <v>686</v>
      </c>
      <c r="B215" s="12" t="s">
        <v>553</v>
      </c>
      <c r="C215" s="13"/>
      <c r="D215" s="88" t="s">
        <v>35</v>
      </c>
      <c r="E215" s="8" t="s">
        <v>871</v>
      </c>
      <c r="F215" s="8" t="s">
        <v>867</v>
      </c>
      <c r="G215" s="8" t="s">
        <v>872</v>
      </c>
      <c r="H215" s="8" t="s">
        <v>846</v>
      </c>
      <c r="I215" s="8" t="s">
        <v>875</v>
      </c>
      <c r="J215" s="11" t="s">
        <v>869</v>
      </c>
      <c r="K215" s="8" t="s">
        <v>753</v>
      </c>
      <c r="L215" s="8" t="s">
        <v>757</v>
      </c>
      <c r="M215" s="11" t="s">
        <v>567</v>
      </c>
      <c r="N215" s="96">
        <f>719355/1000</f>
        <v>719.355</v>
      </c>
      <c r="O215" s="96">
        <f>719355/1000</f>
        <v>719.355</v>
      </c>
      <c r="P215" s="96">
        <f>2119200/1000</f>
        <v>2119.2</v>
      </c>
      <c r="Q215" s="96">
        <f>2948000/1000</f>
        <v>2948</v>
      </c>
      <c r="R215" s="103">
        <f>3605400/1000</f>
        <v>3605.4</v>
      </c>
      <c r="S215" s="103">
        <f>3605400/1000</f>
        <v>3605.4</v>
      </c>
    </row>
    <row r="216" spans="1:19" s="3" customFormat="1" ht="163.5" customHeight="1">
      <c r="A216" s="81" t="s">
        <v>687</v>
      </c>
      <c r="B216" s="12" t="s">
        <v>561</v>
      </c>
      <c r="C216" s="13"/>
      <c r="D216" s="88" t="s">
        <v>346</v>
      </c>
      <c r="E216" s="8" t="s">
        <v>81</v>
      </c>
      <c r="F216" s="8" t="s">
        <v>28</v>
      </c>
      <c r="G216" s="8" t="s">
        <v>132</v>
      </c>
      <c r="H216" s="8" t="s">
        <v>873</v>
      </c>
      <c r="I216" s="8" t="s">
        <v>874</v>
      </c>
      <c r="J216" s="11" t="s">
        <v>869</v>
      </c>
      <c r="K216" s="8" t="s">
        <v>758</v>
      </c>
      <c r="L216" s="11" t="s">
        <v>431</v>
      </c>
      <c r="M216" s="11" t="s">
        <v>373</v>
      </c>
      <c r="N216" s="96">
        <f>800/1000</f>
        <v>0.8</v>
      </c>
      <c r="O216" s="96">
        <v>0</v>
      </c>
      <c r="P216" s="96">
        <f>900/1000</f>
        <v>0.9</v>
      </c>
      <c r="Q216" s="96">
        <f>900/1000</f>
        <v>0.9</v>
      </c>
      <c r="R216" s="96">
        <f>900/1000</f>
        <v>0.9</v>
      </c>
      <c r="S216" s="96">
        <f>900/1000</f>
        <v>0.9</v>
      </c>
    </row>
    <row r="217" spans="1:19" s="3" customFormat="1" ht="134.25" customHeight="1">
      <c r="A217" s="81" t="s">
        <v>688</v>
      </c>
      <c r="B217" s="12" t="s">
        <v>560</v>
      </c>
      <c r="C217" s="21"/>
      <c r="D217" s="88" t="s">
        <v>346</v>
      </c>
      <c r="E217" s="8" t="s">
        <v>909</v>
      </c>
      <c r="F217" s="8" t="s">
        <v>910</v>
      </c>
      <c r="G217" s="8" t="s">
        <v>911</v>
      </c>
      <c r="H217" s="8" t="s">
        <v>876</v>
      </c>
      <c r="I217" s="8" t="s">
        <v>783</v>
      </c>
      <c r="J217" s="11" t="s">
        <v>869</v>
      </c>
      <c r="K217" s="8" t="s">
        <v>759</v>
      </c>
      <c r="L217" s="8" t="s">
        <v>431</v>
      </c>
      <c r="M217" s="8" t="s">
        <v>479</v>
      </c>
      <c r="N217" s="96">
        <f>445000/1000</f>
        <v>445</v>
      </c>
      <c r="O217" s="96">
        <f>385782.79/1000</f>
        <v>385.78279</v>
      </c>
      <c r="P217" s="96">
        <f>491000/1000</f>
        <v>491</v>
      </c>
      <c r="Q217" s="96">
        <f>473000/1000</f>
        <v>473</v>
      </c>
      <c r="R217" s="103">
        <f>473000/1000</f>
        <v>473</v>
      </c>
      <c r="S217" s="103">
        <f>473000/1000</f>
        <v>473</v>
      </c>
    </row>
    <row r="218" spans="1:19" s="3" customFormat="1" ht="49.5" customHeight="1">
      <c r="A218" s="154" t="s">
        <v>689</v>
      </c>
      <c r="B218" s="156" t="s">
        <v>540</v>
      </c>
      <c r="C218" s="13"/>
      <c r="D218" s="158" t="s">
        <v>386</v>
      </c>
      <c r="E218" s="150" t="s">
        <v>912</v>
      </c>
      <c r="F218" s="150" t="s">
        <v>839</v>
      </c>
      <c r="G218" s="150" t="s">
        <v>913</v>
      </c>
      <c r="H218" s="150" t="s">
        <v>877</v>
      </c>
      <c r="I218" s="150" t="s">
        <v>878</v>
      </c>
      <c r="J218" s="163" t="s">
        <v>15</v>
      </c>
      <c r="K218" s="150" t="s">
        <v>760</v>
      </c>
      <c r="L218" s="150" t="s">
        <v>136</v>
      </c>
      <c r="M218" s="150" t="s">
        <v>549</v>
      </c>
      <c r="N218" s="98">
        <f>205312/1000</f>
        <v>205.312</v>
      </c>
      <c r="O218" s="98">
        <f>205312/1000</f>
        <v>205.312</v>
      </c>
      <c r="P218" s="98">
        <f>296800/1000</f>
        <v>296.8</v>
      </c>
      <c r="Q218" s="98">
        <f>304200/1000</f>
        <v>304.2</v>
      </c>
      <c r="R218" s="98">
        <f>304200/1000</f>
        <v>304.2</v>
      </c>
      <c r="S218" s="98">
        <f>304200/1000</f>
        <v>304.2</v>
      </c>
    </row>
    <row r="219" spans="1:19" s="3" customFormat="1" ht="49.5" customHeight="1">
      <c r="A219" s="155"/>
      <c r="B219" s="157"/>
      <c r="C219" s="13"/>
      <c r="D219" s="159"/>
      <c r="E219" s="151"/>
      <c r="F219" s="151"/>
      <c r="G219" s="151"/>
      <c r="H219" s="151"/>
      <c r="I219" s="151"/>
      <c r="J219" s="151"/>
      <c r="K219" s="151"/>
      <c r="L219" s="151"/>
      <c r="M219" s="151"/>
      <c r="N219" s="109">
        <f>98188/1000</f>
        <v>98.188</v>
      </c>
      <c r="O219" s="109">
        <f>98188/1000</f>
        <v>98.188</v>
      </c>
      <c r="P219" s="109">
        <v>0</v>
      </c>
      <c r="Q219" s="109">
        <v>0</v>
      </c>
      <c r="R219" s="109">
        <v>0</v>
      </c>
      <c r="S219" s="109">
        <v>0</v>
      </c>
    </row>
    <row r="220" spans="1:19" s="2" customFormat="1" ht="126.75" customHeight="1">
      <c r="A220" s="81" t="s">
        <v>690</v>
      </c>
      <c r="B220" s="12" t="s">
        <v>480</v>
      </c>
      <c r="C220" s="13"/>
      <c r="D220" s="88" t="s">
        <v>522</v>
      </c>
      <c r="E220" s="8" t="s">
        <v>879</v>
      </c>
      <c r="F220" s="8" t="s">
        <v>880</v>
      </c>
      <c r="G220" s="8" t="s">
        <v>881</v>
      </c>
      <c r="H220" s="8" t="s">
        <v>882</v>
      </c>
      <c r="I220" s="8" t="s">
        <v>867</v>
      </c>
      <c r="J220" s="8" t="s">
        <v>869</v>
      </c>
      <c r="K220" s="8" t="s">
        <v>333</v>
      </c>
      <c r="L220" s="8" t="s">
        <v>431</v>
      </c>
      <c r="M220" s="8" t="s">
        <v>334</v>
      </c>
      <c r="N220" s="96">
        <f>156700/1000</f>
        <v>156.7</v>
      </c>
      <c r="O220" s="96">
        <f>95892.4/1000</f>
        <v>95.8924</v>
      </c>
      <c r="P220" s="96">
        <f>199430/1000</f>
        <v>199.43</v>
      </c>
      <c r="Q220" s="96">
        <v>0</v>
      </c>
      <c r="R220" s="103">
        <v>0</v>
      </c>
      <c r="S220" s="103">
        <v>0</v>
      </c>
    </row>
    <row r="221" spans="1:19" s="4" customFormat="1" ht="96.75" customHeight="1">
      <c r="A221" s="80" t="s">
        <v>95</v>
      </c>
      <c r="B221" s="40" t="s">
        <v>222</v>
      </c>
      <c r="C221" s="45"/>
      <c r="D221" s="88"/>
      <c r="E221" s="8"/>
      <c r="F221" s="8"/>
      <c r="G221" s="8"/>
      <c r="H221" s="8"/>
      <c r="I221" s="8"/>
      <c r="J221" s="8"/>
      <c r="K221" s="8"/>
      <c r="L221" s="8"/>
      <c r="M221" s="8"/>
      <c r="N221" s="95">
        <f>SUM(N222:N243)</f>
        <v>8993.90849</v>
      </c>
      <c r="O221" s="95">
        <f>SUM(O222:O243)</f>
        <v>8898.30253</v>
      </c>
      <c r="P221" s="95">
        <f>SUM(P222:P250)</f>
        <v>2834.35592</v>
      </c>
      <c r="Q221" s="95">
        <f>SUM(Q222:Q243)</f>
        <v>1101.98</v>
      </c>
      <c r="R221" s="95">
        <f>SUM(R222:R243)</f>
        <v>1165.6552199999999</v>
      </c>
      <c r="S221" s="95">
        <f>SUM(S222:S243)</f>
        <v>1225.0000914400002</v>
      </c>
    </row>
    <row r="222" spans="1:19" s="5" customFormat="1" ht="48.75" customHeight="1">
      <c r="A222" s="85"/>
      <c r="B222" s="14" t="s">
        <v>458</v>
      </c>
      <c r="C222" s="15"/>
      <c r="D222" s="88" t="s">
        <v>508</v>
      </c>
      <c r="E222" s="8" t="s">
        <v>81</v>
      </c>
      <c r="F222" s="8" t="s">
        <v>257</v>
      </c>
      <c r="G222" s="8" t="s">
        <v>82</v>
      </c>
      <c r="H222" s="8"/>
      <c r="I222" s="8"/>
      <c r="J222" s="8"/>
      <c r="K222" s="8" t="s">
        <v>513</v>
      </c>
      <c r="L222" s="8" t="s">
        <v>514</v>
      </c>
      <c r="M222" s="8" t="s">
        <v>509</v>
      </c>
      <c r="N222" s="96">
        <f>69000/1000</f>
        <v>69</v>
      </c>
      <c r="O222" s="96">
        <f>68994/1000</f>
        <v>68.994</v>
      </c>
      <c r="P222" s="96">
        <f>74000/1000</f>
        <v>74</v>
      </c>
      <c r="Q222" s="118">
        <v>78.4</v>
      </c>
      <c r="R222" s="103">
        <v>83.1</v>
      </c>
      <c r="S222" s="103">
        <v>87.4</v>
      </c>
    </row>
    <row r="223" spans="1:19" s="5" customFormat="1" ht="48.75" customHeight="1">
      <c r="A223" s="85"/>
      <c r="B223" s="14" t="s">
        <v>455</v>
      </c>
      <c r="C223" s="15"/>
      <c r="D223" s="88" t="s">
        <v>508</v>
      </c>
      <c r="E223" s="8" t="s">
        <v>81</v>
      </c>
      <c r="F223" s="8" t="s">
        <v>257</v>
      </c>
      <c r="G223" s="8" t="s">
        <v>82</v>
      </c>
      <c r="H223" s="8"/>
      <c r="I223" s="8"/>
      <c r="J223" s="8"/>
      <c r="K223" s="8" t="s">
        <v>292</v>
      </c>
      <c r="L223" s="8" t="s">
        <v>139</v>
      </c>
      <c r="M223" s="8" t="s">
        <v>73</v>
      </c>
      <c r="N223" s="96">
        <v>0</v>
      </c>
      <c r="O223" s="96">
        <v>0</v>
      </c>
      <c r="P223" s="96">
        <f>24000/1000</f>
        <v>24</v>
      </c>
      <c r="Q223" s="118">
        <f>24000/1000</f>
        <v>24</v>
      </c>
      <c r="R223" s="103">
        <f>24000/1000</f>
        <v>24</v>
      </c>
      <c r="S223" s="103">
        <f>24000/1000</f>
        <v>24</v>
      </c>
    </row>
    <row r="224" spans="1:19" s="3" customFormat="1" ht="24" customHeight="1" hidden="1" outlineLevel="1">
      <c r="A224" s="81"/>
      <c r="B224" s="12" t="s">
        <v>205</v>
      </c>
      <c r="C224" s="13"/>
      <c r="D224" s="88" t="s">
        <v>338</v>
      </c>
      <c r="E224" s="8" t="s">
        <v>81</v>
      </c>
      <c r="F224" s="8" t="s">
        <v>28</v>
      </c>
      <c r="G224" s="11" t="s">
        <v>344</v>
      </c>
      <c r="H224" s="8" t="s">
        <v>25</v>
      </c>
      <c r="I224" s="8" t="s">
        <v>26</v>
      </c>
      <c r="J224" s="8" t="s">
        <v>27</v>
      </c>
      <c r="K224" s="8" t="s">
        <v>135</v>
      </c>
      <c r="L224" s="8" t="s">
        <v>191</v>
      </c>
      <c r="M224" s="8" t="s">
        <v>270</v>
      </c>
      <c r="N224" s="96">
        <v>0</v>
      </c>
      <c r="O224" s="96"/>
      <c r="P224" s="96">
        <v>0</v>
      </c>
      <c r="Q224" s="96">
        <v>0</v>
      </c>
      <c r="R224" s="96">
        <v>0</v>
      </c>
      <c r="S224" s="96">
        <v>0</v>
      </c>
    </row>
    <row r="225" spans="1:19" s="3" customFormat="1" ht="28.5" customHeight="1" hidden="1" outlineLevel="1">
      <c r="A225" s="81"/>
      <c r="B225" s="12" t="s">
        <v>296</v>
      </c>
      <c r="C225" s="13"/>
      <c r="D225" s="88" t="s">
        <v>338</v>
      </c>
      <c r="E225" s="8" t="s">
        <v>81</v>
      </c>
      <c r="F225" s="8" t="s">
        <v>28</v>
      </c>
      <c r="G225" s="11" t="s">
        <v>344</v>
      </c>
      <c r="H225" s="8"/>
      <c r="I225" s="8"/>
      <c r="J225" s="8"/>
      <c r="K225" s="8" t="s">
        <v>510</v>
      </c>
      <c r="L225" s="8" t="s">
        <v>511</v>
      </c>
      <c r="M225" s="8" t="s">
        <v>387</v>
      </c>
      <c r="N225" s="96">
        <v>0</v>
      </c>
      <c r="O225" s="96"/>
      <c r="P225" s="96">
        <v>0</v>
      </c>
      <c r="Q225" s="96">
        <v>0</v>
      </c>
      <c r="R225" s="96">
        <v>0</v>
      </c>
      <c r="S225" s="96">
        <v>0</v>
      </c>
    </row>
    <row r="226" spans="1:19" s="5" customFormat="1" ht="123" customHeight="1" collapsed="1">
      <c r="A226" s="85"/>
      <c r="B226" s="14" t="s">
        <v>11</v>
      </c>
      <c r="C226" s="15"/>
      <c r="D226" s="88" t="s">
        <v>508</v>
      </c>
      <c r="E226" s="8" t="s">
        <v>81</v>
      </c>
      <c r="F226" s="8" t="s">
        <v>257</v>
      </c>
      <c r="G226" s="8" t="s">
        <v>82</v>
      </c>
      <c r="H226" s="8" t="s">
        <v>320</v>
      </c>
      <c r="I226" s="8" t="s">
        <v>194</v>
      </c>
      <c r="J226" s="8" t="s">
        <v>321</v>
      </c>
      <c r="K226" s="8" t="s">
        <v>421</v>
      </c>
      <c r="L226" s="8" t="s">
        <v>136</v>
      </c>
      <c r="M226" s="8" t="s">
        <v>147</v>
      </c>
      <c r="N226" s="96">
        <f>78078.28/1000</f>
        <v>78.07827999999999</v>
      </c>
      <c r="O226" s="96">
        <f>44124/1000</f>
        <v>44.124</v>
      </c>
      <c r="P226" s="96">
        <v>0</v>
      </c>
      <c r="Q226" s="96">
        <v>0</v>
      </c>
      <c r="R226" s="96">
        <v>0</v>
      </c>
      <c r="S226" s="96">
        <v>0</v>
      </c>
    </row>
    <row r="227" spans="1:19" s="5" customFormat="1" ht="25.5" customHeight="1" outlineLevel="1">
      <c r="A227" s="197"/>
      <c r="B227" s="156" t="s">
        <v>11</v>
      </c>
      <c r="C227" s="15"/>
      <c r="D227" s="158" t="s">
        <v>508</v>
      </c>
      <c r="E227" s="150" t="s">
        <v>960</v>
      </c>
      <c r="F227" s="150" t="s">
        <v>576</v>
      </c>
      <c r="G227" s="150" t="s">
        <v>961</v>
      </c>
      <c r="H227" s="150" t="s">
        <v>962</v>
      </c>
      <c r="I227" s="150" t="s">
        <v>963</v>
      </c>
      <c r="J227" s="163" t="s">
        <v>964</v>
      </c>
      <c r="K227" s="150" t="s">
        <v>965</v>
      </c>
      <c r="L227" s="150" t="s">
        <v>30</v>
      </c>
      <c r="M227" s="150" t="s">
        <v>966</v>
      </c>
      <c r="N227" s="98">
        <v>0</v>
      </c>
      <c r="O227" s="98">
        <v>0</v>
      </c>
      <c r="P227" s="98">
        <f>300000/1000</f>
        <v>300</v>
      </c>
      <c r="Q227" s="101">
        <f>P227*1.06</f>
        <v>318</v>
      </c>
      <c r="R227" s="112">
        <f>Q227*1.059</f>
        <v>336.762</v>
      </c>
      <c r="S227" s="112">
        <f>R227*1.052</f>
        <v>354.27362400000004</v>
      </c>
    </row>
    <row r="228" spans="1:19" s="5" customFormat="1" ht="25.5" customHeight="1" outlineLevel="1">
      <c r="A228" s="198"/>
      <c r="B228" s="182"/>
      <c r="C228" s="15"/>
      <c r="D228" s="183"/>
      <c r="E228" s="160"/>
      <c r="F228" s="160"/>
      <c r="G228" s="160"/>
      <c r="H228" s="160"/>
      <c r="I228" s="160"/>
      <c r="J228" s="164"/>
      <c r="K228" s="160"/>
      <c r="L228" s="160"/>
      <c r="M228" s="160"/>
      <c r="N228" s="99"/>
      <c r="O228" s="99"/>
      <c r="P228" s="99">
        <v>0</v>
      </c>
      <c r="Q228" s="124"/>
      <c r="R228" s="115"/>
      <c r="S228" s="115"/>
    </row>
    <row r="229" spans="1:19" s="5" customFormat="1" ht="25.5" customHeight="1" outlineLevel="1">
      <c r="A229" s="199"/>
      <c r="B229" s="157"/>
      <c r="C229" s="15"/>
      <c r="D229" s="159"/>
      <c r="E229" s="151"/>
      <c r="F229" s="151"/>
      <c r="G229" s="151"/>
      <c r="H229" s="151"/>
      <c r="I229" s="151"/>
      <c r="J229" s="181"/>
      <c r="K229" s="151"/>
      <c r="L229" s="151"/>
      <c r="M229" s="151"/>
      <c r="N229" s="109"/>
      <c r="O229" s="109"/>
      <c r="P229" s="109">
        <v>0</v>
      </c>
      <c r="Q229" s="138"/>
      <c r="R229" s="113"/>
      <c r="S229" s="113"/>
    </row>
    <row r="230" spans="1:19" s="5" customFormat="1" ht="168" customHeight="1">
      <c r="A230" s="85"/>
      <c r="B230" s="14" t="s">
        <v>69</v>
      </c>
      <c r="C230" s="15"/>
      <c r="D230" s="88" t="s">
        <v>508</v>
      </c>
      <c r="E230" s="8" t="s">
        <v>81</v>
      </c>
      <c r="F230" s="8" t="s">
        <v>885</v>
      </c>
      <c r="G230" s="8" t="s">
        <v>82</v>
      </c>
      <c r="H230" s="8" t="s">
        <v>886</v>
      </c>
      <c r="I230" s="8" t="s">
        <v>431</v>
      </c>
      <c r="J230" s="8" t="s">
        <v>887</v>
      </c>
      <c r="K230" s="8" t="s">
        <v>223</v>
      </c>
      <c r="L230" s="8" t="s">
        <v>30</v>
      </c>
      <c r="M230" s="8" t="s">
        <v>159</v>
      </c>
      <c r="N230" s="96">
        <f>960000/1000</f>
        <v>960</v>
      </c>
      <c r="O230" s="96">
        <f>960000/1000</f>
        <v>960</v>
      </c>
      <c r="P230" s="96">
        <v>0</v>
      </c>
      <c r="Q230" s="119">
        <v>0</v>
      </c>
      <c r="R230" s="119">
        <v>0</v>
      </c>
      <c r="S230" s="119">
        <v>0</v>
      </c>
    </row>
    <row r="231" spans="1:19" s="5" customFormat="1" ht="172.5" customHeight="1">
      <c r="A231" s="85"/>
      <c r="B231" s="14" t="s">
        <v>396</v>
      </c>
      <c r="C231" s="15"/>
      <c r="D231" s="88" t="s">
        <v>508</v>
      </c>
      <c r="E231" s="8" t="s">
        <v>81</v>
      </c>
      <c r="F231" s="8" t="s">
        <v>885</v>
      </c>
      <c r="G231" s="8" t="s">
        <v>82</v>
      </c>
      <c r="H231" s="8" t="s">
        <v>888</v>
      </c>
      <c r="I231" s="8" t="s">
        <v>889</v>
      </c>
      <c r="J231" s="8" t="s">
        <v>890</v>
      </c>
      <c r="K231" s="8" t="s">
        <v>397</v>
      </c>
      <c r="L231" s="8" t="s">
        <v>431</v>
      </c>
      <c r="M231" s="8" t="s">
        <v>398</v>
      </c>
      <c r="N231" s="96">
        <f>960000/1000</f>
        <v>960</v>
      </c>
      <c r="O231" s="96">
        <f>960000/1000</f>
        <v>960</v>
      </c>
      <c r="P231" s="96">
        <v>0</v>
      </c>
      <c r="Q231" s="96">
        <v>0</v>
      </c>
      <c r="R231" s="96">
        <v>0</v>
      </c>
      <c r="S231" s="96">
        <v>0</v>
      </c>
    </row>
    <row r="232" spans="1:19" s="5" customFormat="1" ht="98.25" customHeight="1">
      <c r="A232" s="85"/>
      <c r="B232" s="14" t="s">
        <v>224</v>
      </c>
      <c r="C232" s="15"/>
      <c r="D232" s="88"/>
      <c r="E232" s="8" t="s">
        <v>81</v>
      </c>
      <c r="F232" s="8" t="s">
        <v>885</v>
      </c>
      <c r="G232" s="8" t="s">
        <v>82</v>
      </c>
      <c r="H232" s="8" t="s">
        <v>886</v>
      </c>
      <c r="I232" s="8" t="s">
        <v>431</v>
      </c>
      <c r="J232" s="8" t="s">
        <v>887</v>
      </c>
      <c r="K232" s="8" t="s">
        <v>311</v>
      </c>
      <c r="L232" s="8" t="s">
        <v>431</v>
      </c>
      <c r="M232" s="8" t="s">
        <v>316</v>
      </c>
      <c r="N232" s="96">
        <f>199990/1000</f>
        <v>199.99</v>
      </c>
      <c r="O232" s="96">
        <f>199990/1000</f>
        <v>199.99</v>
      </c>
      <c r="P232" s="96">
        <v>0</v>
      </c>
      <c r="Q232" s="96">
        <v>0</v>
      </c>
      <c r="R232" s="96">
        <v>0</v>
      </c>
      <c r="S232" s="96">
        <v>0</v>
      </c>
    </row>
    <row r="233" spans="1:19" s="5" customFormat="1" ht="86.25" customHeight="1">
      <c r="A233" s="85"/>
      <c r="B233" s="14" t="s">
        <v>425</v>
      </c>
      <c r="C233" s="15"/>
      <c r="D233" s="88" t="s">
        <v>508</v>
      </c>
      <c r="E233" s="8" t="s">
        <v>891</v>
      </c>
      <c r="F233" s="8" t="s">
        <v>892</v>
      </c>
      <c r="G233" s="8" t="s">
        <v>893</v>
      </c>
      <c r="H233" s="8"/>
      <c r="I233" s="8"/>
      <c r="J233" s="8"/>
      <c r="K233" s="8" t="s">
        <v>112</v>
      </c>
      <c r="L233" s="8" t="s">
        <v>0</v>
      </c>
      <c r="M233" s="8" t="s">
        <v>208</v>
      </c>
      <c r="N233" s="96">
        <f>290730.77/1000</f>
        <v>290.73077</v>
      </c>
      <c r="O233" s="96">
        <f>290730.77/1000</f>
        <v>290.73077</v>
      </c>
      <c r="P233" s="96">
        <v>0</v>
      </c>
      <c r="Q233" s="96">
        <v>0</v>
      </c>
      <c r="R233" s="96">
        <v>0</v>
      </c>
      <c r="S233" s="96">
        <v>0</v>
      </c>
    </row>
    <row r="234" spans="1:19" s="5" customFormat="1" ht="110.25" customHeight="1" hidden="1" outlineLevel="1">
      <c r="A234" s="85"/>
      <c r="B234" s="14" t="s">
        <v>4</v>
      </c>
      <c r="C234" s="15"/>
      <c r="D234" s="88" t="s">
        <v>508</v>
      </c>
      <c r="E234" s="8"/>
      <c r="F234" s="8"/>
      <c r="G234" s="8"/>
      <c r="H234" s="8"/>
      <c r="I234" s="8"/>
      <c r="J234" s="8"/>
      <c r="K234" s="8" t="s">
        <v>125</v>
      </c>
      <c r="L234" s="8" t="s">
        <v>30</v>
      </c>
      <c r="M234" s="8" t="s">
        <v>254</v>
      </c>
      <c r="N234" s="96">
        <v>0</v>
      </c>
      <c r="O234" s="96"/>
      <c r="P234" s="96">
        <v>0</v>
      </c>
      <c r="Q234" s="120">
        <v>0</v>
      </c>
      <c r="R234" s="106"/>
      <c r="S234" s="106"/>
    </row>
    <row r="235" spans="1:19" s="5" customFormat="1" ht="85.5" customHeight="1" outlineLevel="1">
      <c r="A235" s="85"/>
      <c r="B235" s="14" t="s">
        <v>533</v>
      </c>
      <c r="C235" s="15"/>
      <c r="D235" s="88" t="s">
        <v>508</v>
      </c>
      <c r="E235" s="8" t="s">
        <v>894</v>
      </c>
      <c r="F235" s="8" t="s">
        <v>136</v>
      </c>
      <c r="G235" s="8" t="s">
        <v>895</v>
      </c>
      <c r="H235" s="8"/>
      <c r="I235" s="8"/>
      <c r="J235" s="8"/>
      <c r="K235" s="8" t="s">
        <v>581</v>
      </c>
      <c r="L235" s="8" t="s">
        <v>431</v>
      </c>
      <c r="M235" s="8" t="s">
        <v>582</v>
      </c>
      <c r="N235" s="96">
        <v>0</v>
      </c>
      <c r="O235" s="96">
        <v>0</v>
      </c>
      <c r="P235" s="96">
        <f>330000/1000</f>
        <v>330</v>
      </c>
      <c r="Q235" s="118">
        <f>P235*1.06</f>
        <v>349.8</v>
      </c>
      <c r="R235" s="103">
        <f>Q235*1.059</f>
        <v>370.4382</v>
      </c>
      <c r="S235" s="103">
        <f>R235*1.052</f>
        <v>389.70098640000003</v>
      </c>
    </row>
    <row r="236" spans="1:19" s="5" customFormat="1" ht="123.75" customHeight="1">
      <c r="A236" s="85"/>
      <c r="B236" s="12" t="s">
        <v>615</v>
      </c>
      <c r="C236" s="15"/>
      <c r="D236" s="88" t="s">
        <v>508</v>
      </c>
      <c r="E236" s="8" t="s">
        <v>896</v>
      </c>
      <c r="F236" s="8" t="s">
        <v>576</v>
      </c>
      <c r="G236" s="8" t="s">
        <v>897</v>
      </c>
      <c r="H236" s="8" t="s">
        <v>883</v>
      </c>
      <c r="I236" s="8" t="s">
        <v>136</v>
      </c>
      <c r="J236" s="8" t="s">
        <v>884</v>
      </c>
      <c r="K236" s="8" t="s">
        <v>421</v>
      </c>
      <c r="L236" s="8" t="s">
        <v>30</v>
      </c>
      <c r="M236" s="8" t="s">
        <v>147</v>
      </c>
      <c r="N236" s="96">
        <f>300000/1000</f>
        <v>300</v>
      </c>
      <c r="O236" s="96">
        <f>300000/1000</f>
        <v>300</v>
      </c>
      <c r="P236" s="96">
        <v>0</v>
      </c>
      <c r="Q236" s="96">
        <v>0</v>
      </c>
      <c r="R236" s="96">
        <v>0</v>
      </c>
      <c r="S236" s="96">
        <v>0</v>
      </c>
    </row>
    <row r="237" spans="1:19" s="5" customFormat="1" ht="120" customHeight="1">
      <c r="A237" s="85"/>
      <c r="B237" s="12" t="s">
        <v>115</v>
      </c>
      <c r="C237" s="15"/>
      <c r="D237" s="88" t="s">
        <v>508</v>
      </c>
      <c r="E237" s="8" t="s">
        <v>896</v>
      </c>
      <c r="F237" s="8" t="s">
        <v>576</v>
      </c>
      <c r="G237" s="8" t="s">
        <v>897</v>
      </c>
      <c r="H237" s="8" t="s">
        <v>883</v>
      </c>
      <c r="I237" s="8" t="s">
        <v>136</v>
      </c>
      <c r="J237" s="8" t="s">
        <v>884</v>
      </c>
      <c r="K237" s="8" t="s">
        <v>421</v>
      </c>
      <c r="L237" s="8" t="s">
        <v>30</v>
      </c>
      <c r="M237" s="8" t="s">
        <v>147</v>
      </c>
      <c r="N237" s="96">
        <f>200000/1000</f>
        <v>200</v>
      </c>
      <c r="O237" s="96">
        <f>200000/1000</f>
        <v>200</v>
      </c>
      <c r="P237" s="96">
        <v>0</v>
      </c>
      <c r="Q237" s="96">
        <v>0</v>
      </c>
      <c r="R237" s="96">
        <v>0</v>
      </c>
      <c r="S237" s="96">
        <v>0</v>
      </c>
    </row>
    <row r="238" spans="1:19" s="6" customFormat="1" ht="183" customHeight="1">
      <c r="A238" s="80"/>
      <c r="B238" s="12" t="s">
        <v>604</v>
      </c>
      <c r="C238" s="13"/>
      <c r="D238" s="88" t="s">
        <v>606</v>
      </c>
      <c r="E238" s="8" t="s">
        <v>898</v>
      </c>
      <c r="F238" s="8" t="s">
        <v>899</v>
      </c>
      <c r="G238" s="8" t="s">
        <v>774</v>
      </c>
      <c r="H238" s="8" t="s">
        <v>900</v>
      </c>
      <c r="I238" s="8" t="s">
        <v>431</v>
      </c>
      <c r="J238" s="8" t="s">
        <v>901</v>
      </c>
      <c r="K238" s="8" t="s">
        <v>605</v>
      </c>
      <c r="L238" s="62" t="s">
        <v>136</v>
      </c>
      <c r="M238" s="62" t="s">
        <v>600</v>
      </c>
      <c r="N238" s="96">
        <f>60000/1000</f>
        <v>60</v>
      </c>
      <c r="O238" s="96">
        <f>60000/1000</f>
        <v>60</v>
      </c>
      <c r="P238" s="96"/>
      <c r="Q238" s="96"/>
      <c r="R238" s="96"/>
      <c r="S238" s="96"/>
    </row>
    <row r="239" spans="1:19" s="6" customFormat="1" ht="168" customHeight="1">
      <c r="A239" s="80"/>
      <c r="B239" s="14" t="s">
        <v>601</v>
      </c>
      <c r="C239" s="13"/>
      <c r="D239" s="88" t="s">
        <v>606</v>
      </c>
      <c r="E239" s="8" t="s">
        <v>898</v>
      </c>
      <c r="F239" s="8" t="s">
        <v>899</v>
      </c>
      <c r="G239" s="8" t="s">
        <v>774</v>
      </c>
      <c r="H239" s="8" t="s">
        <v>902</v>
      </c>
      <c r="I239" s="8" t="s">
        <v>431</v>
      </c>
      <c r="J239" s="8" t="s">
        <v>901</v>
      </c>
      <c r="K239" s="8" t="s">
        <v>602</v>
      </c>
      <c r="L239" s="62" t="s">
        <v>154</v>
      </c>
      <c r="M239" s="62" t="s">
        <v>603</v>
      </c>
      <c r="N239" s="96">
        <f>4000000/1000</f>
        <v>4000</v>
      </c>
      <c r="O239" s="96">
        <f>4000000/1000</f>
        <v>4000</v>
      </c>
      <c r="P239" s="96"/>
      <c r="Q239" s="96"/>
      <c r="R239" s="96"/>
      <c r="S239" s="96"/>
    </row>
    <row r="240" spans="1:19" s="6" customFormat="1" ht="74.25" customHeight="1">
      <c r="A240" s="80"/>
      <c r="B240" s="64" t="s">
        <v>611</v>
      </c>
      <c r="C240" s="13"/>
      <c r="D240" s="88" t="s">
        <v>338</v>
      </c>
      <c r="E240" s="8"/>
      <c r="F240" s="8"/>
      <c r="G240" s="8"/>
      <c r="H240" s="8"/>
      <c r="I240" s="8"/>
      <c r="J240" s="8"/>
      <c r="K240" s="62" t="s">
        <v>614</v>
      </c>
      <c r="L240" s="62" t="s">
        <v>612</v>
      </c>
      <c r="M240" s="62" t="s">
        <v>613</v>
      </c>
      <c r="N240" s="96">
        <f>20000/1000</f>
        <v>20</v>
      </c>
      <c r="O240" s="96">
        <v>0</v>
      </c>
      <c r="P240" s="96"/>
      <c r="Q240" s="96"/>
      <c r="R240" s="96"/>
      <c r="S240" s="96"/>
    </row>
    <row r="241" spans="1:19" s="6" customFormat="1" ht="85.5" customHeight="1">
      <c r="A241" s="80"/>
      <c r="B241" s="64" t="s">
        <v>647</v>
      </c>
      <c r="C241" s="13"/>
      <c r="D241" s="88" t="s">
        <v>508</v>
      </c>
      <c r="E241" s="8" t="s">
        <v>903</v>
      </c>
      <c r="F241" s="8" t="s">
        <v>892</v>
      </c>
      <c r="G241" s="8" t="s">
        <v>893</v>
      </c>
      <c r="H241" s="8"/>
      <c r="I241" s="8"/>
      <c r="J241" s="8"/>
      <c r="K241" s="62" t="s">
        <v>648</v>
      </c>
      <c r="L241" s="62" t="s">
        <v>649</v>
      </c>
      <c r="M241" s="71" t="s">
        <v>208</v>
      </c>
      <c r="N241" s="96">
        <f>298080/1000</f>
        <v>298.08</v>
      </c>
      <c r="O241" s="96">
        <f>290730.76/1000</f>
        <v>290.73076000000003</v>
      </c>
      <c r="P241" s="96"/>
      <c r="Q241" s="96"/>
      <c r="R241" s="96"/>
      <c r="S241" s="96"/>
    </row>
    <row r="242" spans="1:19" s="6" customFormat="1" ht="99.75" customHeight="1">
      <c r="A242" s="80"/>
      <c r="B242" s="12" t="s">
        <v>109</v>
      </c>
      <c r="C242" s="13"/>
      <c r="D242" s="88" t="s">
        <v>522</v>
      </c>
      <c r="E242" s="8" t="s">
        <v>773</v>
      </c>
      <c r="F242" s="8" t="s">
        <v>118</v>
      </c>
      <c r="G242" s="8" t="s">
        <v>774</v>
      </c>
      <c r="H242" s="8"/>
      <c r="I242" s="8"/>
      <c r="J242" s="8"/>
      <c r="K242" s="74" t="s">
        <v>700</v>
      </c>
      <c r="L242" s="72" t="s">
        <v>701</v>
      </c>
      <c r="M242" s="72" t="s">
        <v>702</v>
      </c>
      <c r="N242" s="96">
        <f>166989.44/1000</f>
        <v>166.98944</v>
      </c>
      <c r="O242" s="96">
        <f>166989.44/1000</f>
        <v>166.98944</v>
      </c>
      <c r="P242" s="96">
        <f>313000/1000</f>
        <v>313</v>
      </c>
      <c r="Q242" s="96">
        <f>P242*1.06</f>
        <v>331.78000000000003</v>
      </c>
      <c r="R242" s="103">
        <f>Q242*1.059</f>
        <v>351.35502</v>
      </c>
      <c r="S242" s="103">
        <f>R242*1.052</f>
        <v>369.62548104000007</v>
      </c>
    </row>
    <row r="243" spans="1:19" s="6" customFormat="1" ht="87" customHeight="1">
      <c r="A243" s="80"/>
      <c r="B243" s="64" t="s">
        <v>616</v>
      </c>
      <c r="C243" s="13"/>
      <c r="D243" s="88" t="s">
        <v>508</v>
      </c>
      <c r="E243" s="8" t="s">
        <v>903</v>
      </c>
      <c r="F243" s="8" t="s">
        <v>892</v>
      </c>
      <c r="G243" s="8" t="s">
        <v>893</v>
      </c>
      <c r="H243" s="8"/>
      <c r="I243" s="8"/>
      <c r="J243" s="8"/>
      <c r="K243" s="62" t="s">
        <v>112</v>
      </c>
      <c r="L243" s="62" t="s">
        <v>617</v>
      </c>
      <c r="M243" s="62" t="s">
        <v>618</v>
      </c>
      <c r="N243" s="96">
        <f>1391040/1000</f>
        <v>1391.04</v>
      </c>
      <c r="O243" s="96">
        <f>1356743.56/1000</f>
        <v>1356.7435600000001</v>
      </c>
      <c r="P243" s="96"/>
      <c r="Q243" s="96"/>
      <c r="R243" s="96"/>
      <c r="S243" s="96"/>
    </row>
    <row r="244" spans="1:19" s="6" customFormat="1" ht="62.25" customHeight="1">
      <c r="A244" s="80"/>
      <c r="B244" s="64" t="s">
        <v>929</v>
      </c>
      <c r="C244" s="13"/>
      <c r="D244" s="88" t="s">
        <v>522</v>
      </c>
      <c r="E244" s="8" t="s">
        <v>81</v>
      </c>
      <c r="F244" s="8" t="s">
        <v>885</v>
      </c>
      <c r="G244" s="8" t="s">
        <v>82</v>
      </c>
      <c r="H244" s="8"/>
      <c r="I244" s="8"/>
      <c r="J244" s="8"/>
      <c r="K244" s="62" t="s">
        <v>942</v>
      </c>
      <c r="L244" s="62" t="s">
        <v>511</v>
      </c>
      <c r="M244" s="8" t="s">
        <v>943</v>
      </c>
      <c r="N244" s="96"/>
      <c r="O244" s="96"/>
      <c r="P244" s="96">
        <f>500000/1000</f>
        <v>500</v>
      </c>
      <c r="Q244" s="96"/>
      <c r="R244" s="96"/>
      <c r="S244" s="96"/>
    </row>
    <row r="245" spans="1:19" s="6" customFormat="1" ht="69.75" customHeight="1">
      <c r="A245" s="80"/>
      <c r="B245" s="64" t="s">
        <v>930</v>
      </c>
      <c r="C245" s="13"/>
      <c r="D245" s="88" t="s">
        <v>508</v>
      </c>
      <c r="E245" s="150" t="s">
        <v>976</v>
      </c>
      <c r="F245" s="150" t="s">
        <v>977</v>
      </c>
      <c r="G245" s="150" t="s">
        <v>978</v>
      </c>
      <c r="H245" s="150" t="s">
        <v>974</v>
      </c>
      <c r="I245" s="150" t="s">
        <v>154</v>
      </c>
      <c r="J245" s="150" t="s">
        <v>975</v>
      </c>
      <c r="K245" s="148" t="s">
        <v>979</v>
      </c>
      <c r="L245" s="148" t="s">
        <v>511</v>
      </c>
      <c r="M245" s="150" t="s">
        <v>980</v>
      </c>
      <c r="N245" s="96"/>
      <c r="O245" s="96"/>
      <c r="P245" s="96">
        <f>1000000/1000</f>
        <v>1000</v>
      </c>
      <c r="Q245" s="96"/>
      <c r="R245" s="96"/>
      <c r="S245" s="96"/>
    </row>
    <row r="246" spans="1:19" s="6" customFormat="1" ht="136.5" customHeight="1">
      <c r="A246" s="80"/>
      <c r="B246" s="64" t="s">
        <v>973</v>
      </c>
      <c r="C246" s="13"/>
      <c r="D246" s="88" t="s">
        <v>508</v>
      </c>
      <c r="E246" s="151"/>
      <c r="F246" s="151"/>
      <c r="G246" s="151"/>
      <c r="H246" s="151"/>
      <c r="I246" s="151"/>
      <c r="J246" s="151"/>
      <c r="K246" s="149"/>
      <c r="L246" s="149"/>
      <c r="M246" s="151"/>
      <c r="N246" s="96"/>
      <c r="O246" s="96"/>
      <c r="P246" s="96"/>
      <c r="Q246" s="96"/>
      <c r="R246" s="96"/>
      <c r="S246" s="96"/>
    </row>
    <row r="247" spans="1:19" s="6" customFormat="1" ht="75" customHeight="1">
      <c r="A247" s="80"/>
      <c r="B247" s="64" t="s">
        <v>931</v>
      </c>
      <c r="C247" s="13"/>
      <c r="D247" s="88" t="s">
        <v>522</v>
      </c>
      <c r="E247" s="8" t="s">
        <v>81</v>
      </c>
      <c r="F247" s="8" t="s">
        <v>885</v>
      </c>
      <c r="G247" s="8" t="s">
        <v>82</v>
      </c>
      <c r="H247" s="8" t="s">
        <v>994</v>
      </c>
      <c r="I247" s="8" t="s">
        <v>136</v>
      </c>
      <c r="J247" s="8" t="s">
        <v>995</v>
      </c>
      <c r="K247" s="61" t="s">
        <v>944</v>
      </c>
      <c r="L247" s="61" t="s">
        <v>347</v>
      </c>
      <c r="M247" s="51" t="s">
        <v>945</v>
      </c>
      <c r="N247" s="96"/>
      <c r="O247" s="96"/>
      <c r="P247" s="96">
        <f>99990/1000</f>
        <v>99.99</v>
      </c>
      <c r="Q247" s="96"/>
      <c r="R247" s="96"/>
      <c r="S247" s="96"/>
    </row>
    <row r="248" spans="1:19" s="6" customFormat="1" ht="75" customHeight="1" hidden="1">
      <c r="A248" s="80"/>
      <c r="B248" s="64" t="s">
        <v>993</v>
      </c>
      <c r="C248" s="13"/>
      <c r="D248" s="88" t="s">
        <v>522</v>
      </c>
      <c r="E248" s="8" t="s">
        <v>81</v>
      </c>
      <c r="F248" s="8" t="s">
        <v>885</v>
      </c>
      <c r="G248" s="8" t="s">
        <v>82</v>
      </c>
      <c r="H248" s="8" t="s">
        <v>996</v>
      </c>
      <c r="I248" s="8" t="s">
        <v>136</v>
      </c>
      <c r="J248" s="8" t="s">
        <v>997</v>
      </c>
      <c r="K248" s="61" t="s">
        <v>998</v>
      </c>
      <c r="L248" s="61" t="s">
        <v>743</v>
      </c>
      <c r="M248" s="51" t="s">
        <v>999</v>
      </c>
      <c r="N248" s="96"/>
      <c r="O248" s="96"/>
      <c r="P248" s="96"/>
      <c r="Q248" s="96"/>
      <c r="R248" s="96"/>
      <c r="S248" s="96"/>
    </row>
    <row r="249" spans="1:19" s="6" customFormat="1" ht="90" customHeight="1">
      <c r="A249" s="80"/>
      <c r="B249" s="64" t="s">
        <v>967</v>
      </c>
      <c r="C249" s="13"/>
      <c r="D249" s="158" t="s">
        <v>522</v>
      </c>
      <c r="E249" s="150" t="s">
        <v>898</v>
      </c>
      <c r="F249" s="150" t="s">
        <v>899</v>
      </c>
      <c r="G249" s="150" t="s">
        <v>774</v>
      </c>
      <c r="H249" s="8" t="s">
        <v>970</v>
      </c>
      <c r="I249" s="8" t="s">
        <v>431</v>
      </c>
      <c r="J249" s="8" t="s">
        <v>940</v>
      </c>
      <c r="K249" s="200" t="s">
        <v>968</v>
      </c>
      <c r="L249" s="148" t="s">
        <v>154</v>
      </c>
      <c r="M249" s="148" t="s">
        <v>969</v>
      </c>
      <c r="N249" s="96"/>
      <c r="O249" s="96"/>
      <c r="P249" s="96">
        <f>95374.8/1000</f>
        <v>95.37480000000001</v>
      </c>
      <c r="Q249" s="96"/>
      <c r="R249" s="96"/>
      <c r="S249" s="96"/>
    </row>
    <row r="250" spans="1:19" s="6" customFormat="1" ht="87.75" customHeight="1">
      <c r="A250" s="80"/>
      <c r="B250" s="64" t="s">
        <v>932</v>
      </c>
      <c r="C250" s="13"/>
      <c r="D250" s="202"/>
      <c r="E250" s="202"/>
      <c r="F250" s="202"/>
      <c r="G250" s="202"/>
      <c r="H250" s="8" t="s">
        <v>971</v>
      </c>
      <c r="I250" s="8" t="s">
        <v>431</v>
      </c>
      <c r="J250" s="8" t="s">
        <v>972</v>
      </c>
      <c r="K250" s="201"/>
      <c r="L250" s="149"/>
      <c r="M250" s="149"/>
      <c r="N250" s="96"/>
      <c r="O250" s="96"/>
      <c r="P250" s="96">
        <f>97991.12/1000</f>
        <v>97.99112</v>
      </c>
      <c r="Q250" s="96"/>
      <c r="R250" s="96"/>
      <c r="S250" s="96"/>
    </row>
    <row r="251" spans="1:19" s="2" customFormat="1" ht="24">
      <c r="A251" s="80"/>
      <c r="B251" s="43" t="s">
        <v>377</v>
      </c>
      <c r="C251" s="21"/>
      <c r="D251" s="94"/>
      <c r="E251" s="8"/>
      <c r="F251" s="8"/>
      <c r="G251" s="8"/>
      <c r="H251" s="8"/>
      <c r="I251" s="8"/>
      <c r="J251" s="8"/>
      <c r="K251" s="8"/>
      <c r="L251" s="8"/>
      <c r="M251" s="8"/>
      <c r="N251" s="95">
        <f>N6+N176+N221</f>
        <v>719279.9937900001</v>
      </c>
      <c r="O251" s="95">
        <f>O6+O176+O221</f>
        <v>711120.2361399999</v>
      </c>
      <c r="P251" s="95">
        <f>P6+P176+P221</f>
        <v>770075.4429200001</v>
      </c>
      <c r="Q251" s="95">
        <f>Q6+Q176+Q221</f>
        <v>768961.36298</v>
      </c>
      <c r="R251" s="95">
        <f>R7+R21+R25+R26+R28+R29+R33+R36+R42+R45+R51+R66+R103+R129+R134+R136+R140+R144+R148+R156+R161+R165+R176+R221</f>
        <v>788629.98389582</v>
      </c>
      <c r="S251" s="95">
        <f>S7+S21+S25+S26+S28+S29+S33+S36+S42+S45+S51+S66+S103+S129+S134+S136+S140+S144+S148+S156+S161+S165+S176+S221</f>
        <v>806455.8202584027</v>
      </c>
    </row>
    <row r="252" spans="1:19" s="2" customFormat="1" ht="24">
      <c r="A252" s="80"/>
      <c r="B252" s="43" t="s">
        <v>377</v>
      </c>
      <c r="C252" s="21"/>
      <c r="D252" s="94"/>
      <c r="E252" s="8"/>
      <c r="F252" s="8"/>
      <c r="G252" s="8"/>
      <c r="H252" s="8"/>
      <c r="I252" s="8"/>
      <c r="J252" s="8"/>
      <c r="K252" s="8"/>
      <c r="L252" s="8"/>
      <c r="M252" s="8"/>
      <c r="N252" s="95">
        <f aca="true" t="shared" si="20" ref="N252:S252">N251</f>
        <v>719279.9937900001</v>
      </c>
      <c r="O252" s="95">
        <f t="shared" si="20"/>
        <v>711120.2361399999</v>
      </c>
      <c r="P252" s="95">
        <f t="shared" si="20"/>
        <v>770075.4429200001</v>
      </c>
      <c r="Q252" s="95">
        <f t="shared" si="20"/>
        <v>768961.36298</v>
      </c>
      <c r="R252" s="95">
        <f t="shared" si="20"/>
        <v>788629.98389582</v>
      </c>
      <c r="S252" s="95">
        <f t="shared" si="20"/>
        <v>806455.8202584027</v>
      </c>
    </row>
    <row r="253" spans="1:19" s="2" customFormat="1" ht="12.75">
      <c r="A253" s="80"/>
      <c r="B253" s="43"/>
      <c r="C253" s="21"/>
      <c r="D253" s="86"/>
      <c r="E253" s="37"/>
      <c r="F253" s="37"/>
      <c r="G253" s="37"/>
      <c r="H253" s="38"/>
      <c r="I253" s="37"/>
      <c r="J253" s="37"/>
      <c r="K253" s="38"/>
      <c r="L253" s="37"/>
      <c r="M253" s="8"/>
      <c r="N253" s="95"/>
      <c r="O253" s="95"/>
      <c r="P253" s="95"/>
      <c r="Q253" s="116"/>
      <c r="R253" s="106"/>
      <c r="S253" s="106"/>
    </row>
    <row r="254" spans="1:19" s="2" customFormat="1" ht="8.25" customHeight="1">
      <c r="A254" s="180"/>
      <c r="B254" s="180"/>
      <c r="C254" s="180"/>
      <c r="D254" s="180"/>
      <c r="E254" s="180"/>
      <c r="F254" s="180"/>
      <c r="G254" s="18"/>
      <c r="H254" s="46"/>
      <c r="I254" s="18"/>
      <c r="J254" s="18"/>
      <c r="K254" s="46"/>
      <c r="L254" s="18"/>
      <c r="M254" s="26"/>
      <c r="N254" s="97"/>
      <c r="O254" s="97"/>
      <c r="P254" s="97"/>
      <c r="Q254" s="121"/>
      <c r="R254" s="106"/>
      <c r="S254" s="106"/>
    </row>
    <row r="255" spans="1:19" s="2" customFormat="1" ht="15.75" customHeight="1">
      <c r="A255" s="18" t="s">
        <v>169</v>
      </c>
      <c r="B255" s="18"/>
      <c r="C255" s="18"/>
      <c r="D255" s="18"/>
      <c r="E255" s="18"/>
      <c r="F255" s="18"/>
      <c r="G255" s="18"/>
      <c r="H255" s="46"/>
      <c r="I255" s="18"/>
      <c r="J255" s="18"/>
      <c r="K255" s="46"/>
      <c r="L255" s="18"/>
      <c r="M255" s="26"/>
      <c r="N255" s="119">
        <f>'ИМБТ посел 2011'!D117</f>
        <v>103339.11184</v>
      </c>
      <c r="O255" s="119">
        <f>'ИМБТ посел 2011'!E117</f>
        <v>99975.77597</v>
      </c>
      <c r="P255" s="119">
        <f>'ИМБТ посел 2011'!F117</f>
        <v>81980.883</v>
      </c>
      <c r="Q255" s="119">
        <f>'ИМБТ посел 2011'!G117</f>
        <v>57256</v>
      </c>
      <c r="R255" s="119">
        <f>'ИМБТ посел 2011'!H117</f>
        <v>58823.4</v>
      </c>
      <c r="S255" s="119">
        <f>'ИМБТ посел 2011'!I117</f>
        <v>59925.50000000001</v>
      </c>
    </row>
    <row r="256" spans="1:19" s="2" customFormat="1" ht="12.75" customHeight="1" hidden="1">
      <c r="A256" s="18" t="s">
        <v>202</v>
      </c>
      <c r="B256" s="18"/>
      <c r="C256" s="18"/>
      <c r="D256" s="18"/>
      <c r="E256" s="18"/>
      <c r="F256" s="18"/>
      <c r="G256" s="18"/>
      <c r="H256" s="46"/>
      <c r="I256" s="18"/>
      <c r="J256" s="18"/>
      <c r="K256" s="46"/>
      <c r="L256" s="18"/>
      <c r="M256" s="26"/>
      <c r="N256" s="97">
        <f>N251+N255</f>
        <v>822619.1056300001</v>
      </c>
      <c r="O256" s="97"/>
      <c r="P256" s="97">
        <f>P251+P255</f>
        <v>852056.3259200001</v>
      </c>
      <c r="Q256" s="122"/>
      <c r="R256" s="123"/>
      <c r="S256" s="123"/>
    </row>
    <row r="257" spans="1:19" s="2" customFormat="1" ht="15.75" customHeight="1">
      <c r="A257" s="18" t="s">
        <v>202</v>
      </c>
      <c r="B257" s="18"/>
      <c r="C257" s="18"/>
      <c r="D257" s="18"/>
      <c r="E257" s="18"/>
      <c r="F257" s="18"/>
      <c r="G257" s="18"/>
      <c r="H257" s="46"/>
      <c r="I257" s="18"/>
      <c r="J257" s="18"/>
      <c r="K257" s="46"/>
      <c r="L257" s="18"/>
      <c r="M257" s="26"/>
      <c r="N257" s="97">
        <f aca="true" t="shared" si="21" ref="N257:S257">N251+N255</f>
        <v>822619.1056300001</v>
      </c>
      <c r="O257" s="97">
        <f t="shared" si="21"/>
        <v>811096.0121099999</v>
      </c>
      <c r="P257" s="97">
        <f t="shared" si="21"/>
        <v>852056.3259200001</v>
      </c>
      <c r="Q257" s="97">
        <f t="shared" si="21"/>
        <v>826217.36298</v>
      </c>
      <c r="R257" s="97">
        <f t="shared" si="21"/>
        <v>847453.38389582</v>
      </c>
      <c r="S257" s="97">
        <f t="shared" si="21"/>
        <v>866381.3202584027</v>
      </c>
    </row>
    <row r="258" spans="1:18" s="2" customFormat="1" ht="13.5" customHeight="1" hidden="1">
      <c r="A258" s="34"/>
      <c r="B258" s="34"/>
      <c r="C258" s="34"/>
      <c r="D258" s="34"/>
      <c r="E258" s="34"/>
      <c r="F258" s="34"/>
      <c r="G258" s="34"/>
      <c r="H258" s="35"/>
      <c r="I258" s="34"/>
      <c r="J258" s="34"/>
      <c r="K258" s="35"/>
      <c r="L258" s="34"/>
      <c r="M258" s="36"/>
      <c r="N258" s="34"/>
      <c r="O258" s="34"/>
      <c r="P258" s="34"/>
      <c r="Q258" s="34"/>
      <c r="R258" s="9"/>
    </row>
  </sheetData>
  <sheetProtection/>
  <autoFilter ref="A4:R252"/>
  <mergeCells count="382">
    <mergeCell ref="K249:K250"/>
    <mergeCell ref="L249:L250"/>
    <mergeCell ref="M249:M250"/>
    <mergeCell ref="D249:D250"/>
    <mergeCell ref="E249:E250"/>
    <mergeCell ref="F249:F250"/>
    <mergeCell ref="G249:G250"/>
    <mergeCell ref="H227:H229"/>
    <mergeCell ref="I227:I229"/>
    <mergeCell ref="J227:J229"/>
    <mergeCell ref="K227:K229"/>
    <mergeCell ref="L227:L229"/>
    <mergeCell ref="M227:M229"/>
    <mergeCell ref="A227:A229"/>
    <mergeCell ref="B227:B229"/>
    <mergeCell ref="D227:D229"/>
    <mergeCell ref="E227:E229"/>
    <mergeCell ref="F227:F229"/>
    <mergeCell ref="G227:G229"/>
    <mergeCell ref="H218:H219"/>
    <mergeCell ref="I218:I219"/>
    <mergeCell ref="J218:J219"/>
    <mergeCell ref="H131:H132"/>
    <mergeCell ref="I131:I132"/>
    <mergeCell ref="J131:J132"/>
    <mergeCell ref="H195:H197"/>
    <mergeCell ref="I195:I197"/>
    <mergeCell ref="E213:E214"/>
    <mergeCell ref="F213:F214"/>
    <mergeCell ref="G213:G214"/>
    <mergeCell ref="H213:H214"/>
    <mergeCell ref="I213:I214"/>
    <mergeCell ref="J213:J214"/>
    <mergeCell ref="J62:J63"/>
    <mergeCell ref="H71:H72"/>
    <mergeCell ref="I71:I72"/>
    <mergeCell ref="J71:J72"/>
    <mergeCell ref="I69:I70"/>
    <mergeCell ref="J67:J68"/>
    <mergeCell ref="I67:I68"/>
    <mergeCell ref="H62:H63"/>
    <mergeCell ref="H60:H61"/>
    <mergeCell ref="I60:I61"/>
    <mergeCell ref="J60:J61"/>
    <mergeCell ref="E75:E76"/>
    <mergeCell ref="F75:F76"/>
    <mergeCell ref="G75:G76"/>
    <mergeCell ref="H74:H76"/>
    <mergeCell ref="I74:I76"/>
    <mergeCell ref="J74:J76"/>
    <mergeCell ref="I62:I63"/>
    <mergeCell ref="E58:E59"/>
    <mergeCell ref="J58:J59"/>
    <mergeCell ref="F43:F44"/>
    <mergeCell ref="G43:G44"/>
    <mergeCell ref="F60:F61"/>
    <mergeCell ref="G60:G61"/>
    <mergeCell ref="F58:F59"/>
    <mergeCell ref="G58:G59"/>
    <mergeCell ref="H58:H59"/>
    <mergeCell ref="I58:I59"/>
    <mergeCell ref="P131:P132"/>
    <mergeCell ref="Q131:Q132"/>
    <mergeCell ref="R131:R132"/>
    <mergeCell ref="Q58:Q59"/>
    <mergeCell ref="R58:R59"/>
    <mergeCell ref="N71:N72"/>
    <mergeCell ref="O71:O72"/>
    <mergeCell ref="N131:N132"/>
    <mergeCell ref="O131:O132"/>
    <mergeCell ref="B43:B44"/>
    <mergeCell ref="A43:A44"/>
    <mergeCell ref="D43:D44"/>
    <mergeCell ref="N43:N44"/>
    <mergeCell ref="O43:O44"/>
    <mergeCell ref="P43:P44"/>
    <mergeCell ref="H43:H44"/>
    <mergeCell ref="I43:I44"/>
    <mergeCell ref="J43:J44"/>
    <mergeCell ref="E43:E44"/>
    <mergeCell ref="Q71:Q72"/>
    <mergeCell ref="R71:R72"/>
    <mergeCell ref="A58:A59"/>
    <mergeCell ref="B58:B59"/>
    <mergeCell ref="D58:D59"/>
    <mergeCell ref="P58:P59"/>
    <mergeCell ref="B71:B72"/>
    <mergeCell ref="A71:A72"/>
    <mergeCell ref="D71:D72"/>
    <mergeCell ref="P71:P72"/>
    <mergeCell ref="A168:A169"/>
    <mergeCell ref="A123:A124"/>
    <mergeCell ref="A105:A120"/>
    <mergeCell ref="B105:B120"/>
    <mergeCell ref="D107:D108"/>
    <mergeCell ref="B145:B146"/>
    <mergeCell ref="D111:D116"/>
    <mergeCell ref="D109:D110"/>
    <mergeCell ref="B131:B132"/>
    <mergeCell ref="A131:A132"/>
    <mergeCell ref="A218:A219"/>
    <mergeCell ref="D117:D119"/>
    <mergeCell ref="K159:K160"/>
    <mergeCell ref="G195:G197"/>
    <mergeCell ref="D192:D193"/>
    <mergeCell ref="B166:B167"/>
    <mergeCell ref="E131:E132"/>
    <mergeCell ref="F131:F132"/>
    <mergeCell ref="G131:G132"/>
    <mergeCell ref="A166:A167"/>
    <mergeCell ref="A1:R1"/>
    <mergeCell ref="R19:R20"/>
    <mergeCell ref="A195:A197"/>
    <mergeCell ref="B37:B38"/>
    <mergeCell ref="L180:L185"/>
    <mergeCell ref="M180:M185"/>
    <mergeCell ref="L159:L160"/>
    <mergeCell ref="M125:M126"/>
    <mergeCell ref="L166:L167"/>
    <mergeCell ref="G125:G126"/>
    <mergeCell ref="A213:A214"/>
    <mergeCell ref="A125:A126"/>
    <mergeCell ref="L213:L214"/>
    <mergeCell ref="M213:M214"/>
    <mergeCell ref="B195:B197"/>
    <mergeCell ref="M145:M146"/>
    <mergeCell ref="A180:A185"/>
    <mergeCell ref="C195:C197"/>
    <mergeCell ref="B213:B214"/>
    <mergeCell ref="A159:A160"/>
    <mergeCell ref="K74:K76"/>
    <mergeCell ref="M9:M11"/>
    <mergeCell ref="P19:P20"/>
    <mergeCell ref="P60:P61"/>
    <mergeCell ref="M69:M70"/>
    <mergeCell ref="O19:O20"/>
    <mergeCell ref="L19:L20"/>
    <mergeCell ref="K19:K20"/>
    <mergeCell ref="O60:O61"/>
    <mergeCell ref="K69:K70"/>
    <mergeCell ref="E2:G2"/>
    <mergeCell ref="H2:J2"/>
    <mergeCell ref="K2:M2"/>
    <mergeCell ref="L37:L38"/>
    <mergeCell ref="M37:M38"/>
    <mergeCell ref="M19:M20"/>
    <mergeCell ref="E9:E10"/>
    <mergeCell ref="F9:F10"/>
    <mergeCell ref="G9:G10"/>
    <mergeCell ref="H9:H10"/>
    <mergeCell ref="H19:H20"/>
    <mergeCell ref="J19:J20"/>
    <mergeCell ref="Q19:Q20"/>
    <mergeCell ref="N19:N20"/>
    <mergeCell ref="K13:K14"/>
    <mergeCell ref="P2:P3"/>
    <mergeCell ref="N2:O2"/>
    <mergeCell ref="Q9:Q11"/>
    <mergeCell ref="I9:I10"/>
    <mergeCell ref="M168:M169"/>
    <mergeCell ref="L192:L193"/>
    <mergeCell ref="K125:K126"/>
    <mergeCell ref="L168:L169"/>
    <mergeCell ref="K123:K124"/>
    <mergeCell ref="K145:K146"/>
    <mergeCell ref="M159:M160"/>
    <mergeCell ref="L123:L124"/>
    <mergeCell ref="K166:K167"/>
    <mergeCell ref="B125:B126"/>
    <mergeCell ref="B168:B169"/>
    <mergeCell ref="L145:L146"/>
    <mergeCell ref="L125:L126"/>
    <mergeCell ref="F94:F95"/>
    <mergeCell ref="G94:G95"/>
    <mergeCell ref="H94:H95"/>
    <mergeCell ref="D131:D132"/>
    <mergeCell ref="M123:M124"/>
    <mergeCell ref="M166:M167"/>
    <mergeCell ref="B192:B193"/>
    <mergeCell ref="B180:B185"/>
    <mergeCell ref="D180:D185"/>
    <mergeCell ref="K213:K214"/>
    <mergeCell ref="L195:L197"/>
    <mergeCell ref="K168:K169"/>
    <mergeCell ref="E125:E126"/>
    <mergeCell ref="F125:F126"/>
    <mergeCell ref="M218:M219"/>
    <mergeCell ref="E195:E197"/>
    <mergeCell ref="K180:K185"/>
    <mergeCell ref="B218:B219"/>
    <mergeCell ref="D218:D219"/>
    <mergeCell ref="M195:M197"/>
    <mergeCell ref="E218:E219"/>
    <mergeCell ref="F218:F219"/>
    <mergeCell ref="L218:L219"/>
    <mergeCell ref="J195:J197"/>
    <mergeCell ref="K218:K219"/>
    <mergeCell ref="K195:K197"/>
    <mergeCell ref="F69:F70"/>
    <mergeCell ref="F195:F197"/>
    <mergeCell ref="A254:F254"/>
    <mergeCell ref="B159:B160"/>
    <mergeCell ref="G218:G219"/>
    <mergeCell ref="D159:D160"/>
    <mergeCell ref="B74:B76"/>
    <mergeCell ref="B123:B124"/>
    <mergeCell ref="A74:A76"/>
    <mergeCell ref="D19:D20"/>
    <mergeCell ref="C19:C20"/>
    <mergeCell ref="B67:B68"/>
    <mergeCell ref="A60:A61"/>
    <mergeCell ref="B60:B61"/>
    <mergeCell ref="A19:A20"/>
    <mergeCell ref="B19:B20"/>
    <mergeCell ref="C67:C68"/>
    <mergeCell ref="C69:C70"/>
    <mergeCell ref="A2:B3"/>
    <mergeCell ref="D2:D3"/>
    <mergeCell ref="N67:N68"/>
    <mergeCell ref="O67:O68"/>
    <mergeCell ref="P67:P68"/>
    <mergeCell ref="M13:M14"/>
    <mergeCell ref="B9:B11"/>
    <mergeCell ref="K9:K11"/>
    <mergeCell ref="L9:L11"/>
    <mergeCell ref="A9:A11"/>
    <mergeCell ref="Q105:Q110"/>
    <mergeCell ref="R105:R110"/>
    <mergeCell ref="Q67:Q68"/>
    <mergeCell ref="R67:R68"/>
    <mergeCell ref="H69:H70"/>
    <mergeCell ref="K94:K95"/>
    <mergeCell ref="L94:L95"/>
    <mergeCell ref="M94:M95"/>
    <mergeCell ref="L74:L76"/>
    <mergeCell ref="M74:M76"/>
    <mergeCell ref="D60:D61"/>
    <mergeCell ref="G69:G70"/>
    <mergeCell ref="D67:D68"/>
    <mergeCell ref="K37:K38"/>
    <mergeCell ref="R9:R11"/>
    <mergeCell ref="L13:L14"/>
    <mergeCell ref="L69:L70"/>
    <mergeCell ref="I19:I20"/>
    <mergeCell ref="J69:J70"/>
    <mergeCell ref="J9:J10"/>
    <mergeCell ref="Q43:Q44"/>
    <mergeCell ref="R43:R44"/>
    <mergeCell ref="N58:N59"/>
    <mergeCell ref="O58:O59"/>
    <mergeCell ref="N60:N61"/>
    <mergeCell ref="A62:A63"/>
    <mergeCell ref="K62:K63"/>
    <mergeCell ref="L62:L63"/>
    <mergeCell ref="M62:M63"/>
    <mergeCell ref="B62:B63"/>
    <mergeCell ref="E69:E70"/>
    <mergeCell ref="B69:B70"/>
    <mergeCell ref="A69:A70"/>
    <mergeCell ref="A67:A68"/>
    <mergeCell ref="G62:G63"/>
    <mergeCell ref="E62:E63"/>
    <mergeCell ref="F62:F63"/>
    <mergeCell ref="H67:H68"/>
    <mergeCell ref="A187:A193"/>
    <mergeCell ref="K187:K193"/>
    <mergeCell ref="M187:M193"/>
    <mergeCell ref="Q60:Q61"/>
    <mergeCell ref="R60:R61"/>
    <mergeCell ref="C60:C61"/>
    <mergeCell ref="E60:E61"/>
    <mergeCell ref="B94:B95"/>
    <mergeCell ref="A94:A95"/>
    <mergeCell ref="D94:D95"/>
    <mergeCell ref="P180:P182"/>
    <mergeCell ref="P183:P185"/>
    <mergeCell ref="Q180:Q182"/>
    <mergeCell ref="Q183:Q185"/>
    <mergeCell ref="R180:R182"/>
    <mergeCell ref="R183:R185"/>
    <mergeCell ref="I94:I95"/>
    <mergeCell ref="J94:J95"/>
    <mergeCell ref="K105:K113"/>
    <mergeCell ref="E13:E14"/>
    <mergeCell ref="F13:F14"/>
    <mergeCell ref="G13:G14"/>
    <mergeCell ref="H13:H14"/>
    <mergeCell ref="I13:I14"/>
    <mergeCell ref="J13:J14"/>
    <mergeCell ref="E37:E38"/>
    <mergeCell ref="F37:F38"/>
    <mergeCell ref="G37:G38"/>
    <mergeCell ref="H37:H38"/>
    <mergeCell ref="I37:I38"/>
    <mergeCell ref="J37:J38"/>
    <mergeCell ref="L105:L113"/>
    <mergeCell ref="E123:E124"/>
    <mergeCell ref="F123:F124"/>
    <mergeCell ref="G123:G124"/>
    <mergeCell ref="E94:E95"/>
    <mergeCell ref="M105:M113"/>
    <mergeCell ref="K114:K119"/>
    <mergeCell ref="L114:L119"/>
    <mergeCell ref="M114:M119"/>
    <mergeCell ref="E115:E120"/>
    <mergeCell ref="E105:E114"/>
    <mergeCell ref="F105:F114"/>
    <mergeCell ref="F115:F120"/>
    <mergeCell ref="G105:G114"/>
    <mergeCell ref="G115:G120"/>
    <mergeCell ref="E145:E146"/>
    <mergeCell ref="F145:F146"/>
    <mergeCell ref="G145:G146"/>
    <mergeCell ref="H145:H146"/>
    <mergeCell ref="I145:I146"/>
    <mergeCell ref="J145:J146"/>
    <mergeCell ref="E159:E160"/>
    <mergeCell ref="F159:F160"/>
    <mergeCell ref="G159:G160"/>
    <mergeCell ref="H159:H160"/>
    <mergeCell ref="I159:I160"/>
    <mergeCell ref="J159:J160"/>
    <mergeCell ref="E166:E167"/>
    <mergeCell ref="F166:F167"/>
    <mergeCell ref="G166:G167"/>
    <mergeCell ref="H166:H167"/>
    <mergeCell ref="I166:I167"/>
    <mergeCell ref="J166:J167"/>
    <mergeCell ref="E168:E169"/>
    <mergeCell ref="F168:F169"/>
    <mergeCell ref="G168:G169"/>
    <mergeCell ref="H168:H169"/>
    <mergeCell ref="I168:I169"/>
    <mergeCell ref="J168:J169"/>
    <mergeCell ref="E180:E185"/>
    <mergeCell ref="F180:F185"/>
    <mergeCell ref="G180:G185"/>
    <mergeCell ref="H180:H185"/>
    <mergeCell ref="I180:I185"/>
    <mergeCell ref="J180:J185"/>
    <mergeCell ref="E187:E193"/>
    <mergeCell ref="F187:F193"/>
    <mergeCell ref="G187:G193"/>
    <mergeCell ref="H187:H193"/>
    <mergeCell ref="I187:I193"/>
    <mergeCell ref="J187:J193"/>
    <mergeCell ref="A47:A48"/>
    <mergeCell ref="B47:B48"/>
    <mergeCell ref="D47:D48"/>
    <mergeCell ref="E47:E48"/>
    <mergeCell ref="F47:F48"/>
    <mergeCell ref="G47:G48"/>
    <mergeCell ref="Q47:Q48"/>
    <mergeCell ref="R47:R48"/>
    <mergeCell ref="H47:H48"/>
    <mergeCell ref="I47:I48"/>
    <mergeCell ref="J47:J48"/>
    <mergeCell ref="N47:N48"/>
    <mergeCell ref="O47:O48"/>
    <mergeCell ref="P47:P48"/>
    <mergeCell ref="Q2:S2"/>
    <mergeCell ref="K245:K246"/>
    <mergeCell ref="L245:L246"/>
    <mergeCell ref="M245:M246"/>
    <mergeCell ref="E245:E246"/>
    <mergeCell ref="F245:F246"/>
    <mergeCell ref="G245:G246"/>
    <mergeCell ref="H245:H246"/>
    <mergeCell ref="I245:I246"/>
    <mergeCell ref="J245:J246"/>
    <mergeCell ref="S58:S59"/>
    <mergeCell ref="S60:S61"/>
    <mergeCell ref="S43:S44"/>
    <mergeCell ref="S47:S48"/>
    <mergeCell ref="S9:S11"/>
    <mergeCell ref="S19:S20"/>
    <mergeCell ref="S180:S182"/>
    <mergeCell ref="S183:S185"/>
    <mergeCell ref="S105:S110"/>
    <mergeCell ref="S131:S132"/>
    <mergeCell ref="S67:S68"/>
    <mergeCell ref="S71:S72"/>
  </mergeCells>
  <dataValidations count="1">
    <dataValidation type="decimal" operator="greaterThan" allowBlank="1" showInputMessage="1" showErrorMessage="1" promptTitle="Проверка корректности" prompt="Введите число" errorTitle="Введите число!" error="Введите число!" sqref="N233:Q253 R236:S241 N224:S226 N227:P232 Q227:Q229 Q231:S232 N221:S221 N222:Q223 R233:S233 N213:S214 N101:P129 N69:P99 P34:Q35 N43:P66 N13:Q19 R6:S7 Q8:Q9 O5:Q7 N5:N12 Q12 N171:S171 R216:S216 Q60:Q66 Q43:Q58 N172:N176 P168:S170 N130:O170 N34:O39 N177:Q179 R51:S53 R66:S66 N40:S42 Q25:S26 Q24 Q27:Q29 R9:S9 R29:S29 N22:Q22 N21:S21 N30:Q32 N33:S33 N67:Q67 R45:S46 R80:S80 R88:S88 R84:S86 Q162:Q164 Q166:Q167 Q161:S161 Q165:S165 O8:P12 Q111:Q128 R122:S127 P130:P167 Q130:Q133 Q134:S134 Q141 Q143 Q142:S142 Q144:S144 Q135 Q129:S129 Q136:S136 Q140:S140 Q148:S148 Q156:S156 Q157:Q160 Q137:Q139 Q145:Q147 Q149:Q155 P36:S39 R157:S157 R159:S160 R103:S103 O176:S176 O172:Q175 N24:P29 R172:S172 N180:O197 P180:Q180 N198:S198 P195:S195 N215:Q220 R218:S219 R193:S193 R204:S209 N199:Q212 P183:Q183 P186:Q194 R243:S252 Q69:Q105">
      <formula1>-100000000000</formula1>
    </dataValidation>
  </dataValidations>
  <printOptions/>
  <pageMargins left="0" right="0" top="0.3937007874015748" bottom="0.3937007874015748" header="0.15748031496062992" footer="0.1574803149606299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17" sqref="G117"/>
    </sheetView>
  </sheetViews>
  <sheetFormatPr defaultColWidth="9.00390625" defaultRowHeight="12.75"/>
  <cols>
    <col min="1" max="1" width="61.75390625" style="7" customWidth="1"/>
    <col min="2" max="2" width="0.875" style="7" hidden="1" customWidth="1"/>
    <col min="3" max="3" width="6.375" style="7" hidden="1" customWidth="1"/>
    <col min="4" max="4" width="7.625" style="17" customWidth="1"/>
    <col min="5" max="6" width="6.875" style="17" customWidth="1"/>
    <col min="7" max="7" width="6.75390625" style="17" customWidth="1"/>
    <col min="8" max="8" width="7.125" style="7" customWidth="1"/>
    <col min="9" max="9" width="7.00390625" style="7" customWidth="1"/>
    <col min="10" max="16384" width="9.125" style="7" customWidth="1"/>
  </cols>
  <sheetData>
    <row r="1" spans="1:8" s="2" customFormat="1" ht="28.5" customHeight="1">
      <c r="A1" s="204" t="s">
        <v>264</v>
      </c>
      <c r="B1" s="204"/>
      <c r="C1" s="204"/>
      <c r="D1" s="204"/>
      <c r="E1" s="204"/>
      <c r="F1" s="204"/>
      <c r="G1" s="204"/>
      <c r="H1" s="204"/>
    </row>
    <row r="2" spans="1:9" s="2" customFormat="1" ht="36.75" customHeight="1">
      <c r="A2" s="207" t="s">
        <v>58</v>
      </c>
      <c r="B2" s="129" t="s">
        <v>103</v>
      </c>
      <c r="C2" s="129" t="s">
        <v>246</v>
      </c>
      <c r="D2" s="179" t="s">
        <v>332</v>
      </c>
      <c r="E2" s="179"/>
      <c r="F2" s="205" t="s">
        <v>12</v>
      </c>
      <c r="G2" s="179" t="s">
        <v>429</v>
      </c>
      <c r="H2" s="203" t="s">
        <v>769</v>
      </c>
      <c r="I2" s="203" t="s">
        <v>1004</v>
      </c>
    </row>
    <row r="3" spans="1:9" s="2" customFormat="1" ht="24">
      <c r="A3" s="207"/>
      <c r="B3" s="129"/>
      <c r="C3" s="129"/>
      <c r="D3" s="13" t="s">
        <v>375</v>
      </c>
      <c r="E3" s="13" t="s">
        <v>376</v>
      </c>
      <c r="F3" s="206"/>
      <c r="G3" s="179"/>
      <c r="H3" s="203"/>
      <c r="I3" s="203"/>
    </row>
    <row r="4" spans="1:9" s="2" customFormat="1" ht="26.25" customHeight="1">
      <c r="A4" s="67" t="s">
        <v>635</v>
      </c>
      <c r="B4" s="25"/>
      <c r="C4" s="25"/>
      <c r="D4" s="125">
        <f>15000/1000</f>
        <v>15</v>
      </c>
      <c r="E4" s="125">
        <f>15000/1000</f>
        <v>15</v>
      </c>
      <c r="F4" s="126">
        <v>0</v>
      </c>
      <c r="G4" s="126">
        <v>0</v>
      </c>
      <c r="H4" s="126">
        <v>0</v>
      </c>
      <c r="I4" s="126">
        <v>0</v>
      </c>
    </row>
    <row r="5" spans="1:9" s="2" customFormat="1" ht="17.25" customHeight="1">
      <c r="A5" s="12" t="s">
        <v>366</v>
      </c>
      <c r="B5" s="33"/>
      <c r="C5" s="31"/>
      <c r="D5" s="126">
        <f aca="true" t="shared" si="0" ref="D5:E8">20000/1000</f>
        <v>20</v>
      </c>
      <c r="E5" s="126">
        <f t="shared" si="0"/>
        <v>20</v>
      </c>
      <c r="F5" s="126">
        <v>0</v>
      </c>
      <c r="G5" s="126">
        <v>0</v>
      </c>
      <c r="H5" s="126">
        <v>0</v>
      </c>
      <c r="I5" s="126">
        <v>0</v>
      </c>
    </row>
    <row r="6" spans="1:9" s="2" customFormat="1" ht="29.25" customHeight="1">
      <c r="A6" s="12" t="s">
        <v>639</v>
      </c>
      <c r="B6" s="33"/>
      <c r="C6" s="31"/>
      <c r="D6" s="126">
        <f t="shared" si="0"/>
        <v>20</v>
      </c>
      <c r="E6" s="126">
        <f t="shared" si="0"/>
        <v>20</v>
      </c>
      <c r="F6" s="126">
        <v>0</v>
      </c>
      <c r="G6" s="126">
        <v>0</v>
      </c>
      <c r="H6" s="126">
        <v>0</v>
      </c>
      <c r="I6" s="126">
        <v>0</v>
      </c>
    </row>
    <row r="7" spans="1:9" s="2" customFormat="1" ht="36.75" customHeight="1">
      <c r="A7" s="12" t="s">
        <v>632</v>
      </c>
      <c r="B7" s="33"/>
      <c r="C7" s="31"/>
      <c r="D7" s="126">
        <f t="shared" si="0"/>
        <v>20</v>
      </c>
      <c r="E7" s="126">
        <f t="shared" si="0"/>
        <v>20</v>
      </c>
      <c r="F7" s="126">
        <v>0</v>
      </c>
      <c r="G7" s="126">
        <v>0</v>
      </c>
      <c r="H7" s="126">
        <v>0</v>
      </c>
      <c r="I7" s="126">
        <v>0</v>
      </c>
    </row>
    <row r="8" spans="1:9" s="2" customFormat="1" ht="16.5" customHeight="1">
      <c r="A8" s="12" t="s">
        <v>634</v>
      </c>
      <c r="B8" s="33"/>
      <c r="C8" s="31"/>
      <c r="D8" s="126">
        <f t="shared" si="0"/>
        <v>20</v>
      </c>
      <c r="E8" s="126">
        <f t="shared" si="0"/>
        <v>20</v>
      </c>
      <c r="F8" s="126">
        <v>0</v>
      </c>
      <c r="G8" s="126">
        <v>0</v>
      </c>
      <c r="H8" s="126">
        <v>0</v>
      </c>
      <c r="I8" s="126">
        <v>0</v>
      </c>
    </row>
    <row r="9" spans="1:9" s="2" customFormat="1" ht="39" customHeight="1">
      <c r="A9" s="68" t="s">
        <v>306</v>
      </c>
      <c r="B9" s="69"/>
      <c r="C9" s="70"/>
      <c r="D9" s="127">
        <f>25000/1000</f>
        <v>25</v>
      </c>
      <c r="E9" s="127">
        <f>25000/1000</f>
        <v>25</v>
      </c>
      <c r="F9" s="126">
        <v>0</v>
      </c>
      <c r="G9" s="126">
        <v>0</v>
      </c>
      <c r="H9" s="126">
        <v>0</v>
      </c>
      <c r="I9" s="126">
        <v>0</v>
      </c>
    </row>
    <row r="10" spans="1:9" s="2" customFormat="1" ht="27" customHeight="1">
      <c r="A10" s="12" t="s">
        <v>641</v>
      </c>
      <c r="B10" s="33"/>
      <c r="C10" s="31"/>
      <c r="D10" s="126">
        <f>25125/1000</f>
        <v>25.125</v>
      </c>
      <c r="E10" s="126">
        <f>25125/1000</f>
        <v>25.125</v>
      </c>
      <c r="F10" s="126">
        <v>0</v>
      </c>
      <c r="G10" s="126">
        <v>0</v>
      </c>
      <c r="H10" s="126">
        <v>0</v>
      </c>
      <c r="I10" s="126">
        <v>0</v>
      </c>
    </row>
    <row r="11" spans="1:9" s="2" customFormat="1" ht="25.5" customHeight="1">
      <c r="A11" s="12" t="s">
        <v>415</v>
      </c>
      <c r="B11" s="33"/>
      <c r="C11" s="31"/>
      <c r="D11" s="126">
        <f>26800/1000</f>
        <v>26.8</v>
      </c>
      <c r="E11" s="126">
        <f>26800/1000</f>
        <v>26.8</v>
      </c>
      <c r="F11" s="126">
        <v>0</v>
      </c>
      <c r="G11" s="126">
        <v>0</v>
      </c>
      <c r="H11" s="126">
        <v>0</v>
      </c>
      <c r="I11" s="126">
        <v>0</v>
      </c>
    </row>
    <row r="12" spans="1:9" s="2" customFormat="1" ht="36.75" customHeight="1">
      <c r="A12" s="12" t="s">
        <v>631</v>
      </c>
      <c r="B12" s="33"/>
      <c r="C12" s="31"/>
      <c r="D12" s="126">
        <f>28430/1000</f>
        <v>28.43</v>
      </c>
      <c r="E12" s="126">
        <f>28430/1000</f>
        <v>28.43</v>
      </c>
      <c r="F12" s="126">
        <v>0</v>
      </c>
      <c r="G12" s="126">
        <v>0</v>
      </c>
      <c r="H12" s="126">
        <v>0</v>
      </c>
      <c r="I12" s="126">
        <v>0</v>
      </c>
    </row>
    <row r="13" spans="1:9" s="2" customFormat="1" ht="24.75" customHeight="1">
      <c r="A13" s="28" t="s">
        <v>637</v>
      </c>
      <c r="B13" s="33"/>
      <c r="C13" s="31"/>
      <c r="D13" s="126">
        <f>29000/1000</f>
        <v>29</v>
      </c>
      <c r="E13" s="126">
        <f>29000/1000</f>
        <v>29</v>
      </c>
      <c r="F13" s="126">
        <v>0</v>
      </c>
      <c r="G13" s="126">
        <v>0</v>
      </c>
      <c r="H13" s="126">
        <v>0</v>
      </c>
      <c r="I13" s="126">
        <v>0</v>
      </c>
    </row>
    <row r="14" spans="1:9" s="2" customFormat="1" ht="25.5" customHeight="1">
      <c r="A14" s="28" t="s">
        <v>50</v>
      </c>
      <c r="B14" s="33"/>
      <c r="C14" s="31"/>
      <c r="D14" s="126">
        <f>30000/1000</f>
        <v>30</v>
      </c>
      <c r="E14" s="126">
        <f>30000/1000</f>
        <v>30</v>
      </c>
      <c r="F14" s="126">
        <v>0</v>
      </c>
      <c r="G14" s="126">
        <v>0</v>
      </c>
      <c r="H14" s="126">
        <v>0</v>
      </c>
      <c r="I14" s="126">
        <v>0</v>
      </c>
    </row>
    <row r="15" spans="1:9" s="2" customFormat="1" ht="24" customHeight="1">
      <c r="A15" s="28" t="s">
        <v>640</v>
      </c>
      <c r="B15" s="33"/>
      <c r="C15" s="31"/>
      <c r="D15" s="126">
        <f>34000/1000</f>
        <v>34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</row>
    <row r="16" spans="1:9" s="2" customFormat="1" ht="13.5" customHeight="1">
      <c r="A16" s="28" t="s">
        <v>633</v>
      </c>
      <c r="B16" s="33"/>
      <c r="C16" s="31"/>
      <c r="D16" s="126">
        <f>35000/1000</f>
        <v>35</v>
      </c>
      <c r="E16" s="126">
        <f>35000/1000</f>
        <v>35</v>
      </c>
      <c r="F16" s="126">
        <v>0</v>
      </c>
      <c r="G16" s="126">
        <v>0</v>
      </c>
      <c r="H16" s="126">
        <v>0</v>
      </c>
      <c r="I16" s="126">
        <v>0</v>
      </c>
    </row>
    <row r="17" spans="1:9" s="2" customFormat="1" ht="26.25" customHeight="1">
      <c r="A17" s="28" t="s">
        <v>638</v>
      </c>
      <c r="B17" s="33"/>
      <c r="C17" s="31"/>
      <c r="D17" s="126">
        <f>50000/1000</f>
        <v>50</v>
      </c>
      <c r="E17" s="126">
        <f>50000/1000</f>
        <v>50</v>
      </c>
      <c r="F17" s="126">
        <v>0</v>
      </c>
      <c r="G17" s="126">
        <v>0</v>
      </c>
      <c r="H17" s="126">
        <v>0</v>
      </c>
      <c r="I17" s="126">
        <v>0</v>
      </c>
    </row>
    <row r="18" spans="1:9" s="2" customFormat="1" ht="48" customHeight="1">
      <c r="A18" s="28" t="s">
        <v>627</v>
      </c>
      <c r="B18" s="33"/>
      <c r="C18" s="31"/>
      <c r="D18" s="126">
        <f>50000/1000</f>
        <v>50</v>
      </c>
      <c r="E18" s="126">
        <f>50000/1000</f>
        <v>50</v>
      </c>
      <c r="F18" s="126">
        <v>0</v>
      </c>
      <c r="G18" s="126">
        <v>0</v>
      </c>
      <c r="H18" s="126">
        <v>0</v>
      </c>
      <c r="I18" s="126">
        <v>0</v>
      </c>
    </row>
    <row r="19" spans="1:9" s="2" customFormat="1" ht="36" customHeight="1">
      <c r="A19" s="28" t="s">
        <v>53</v>
      </c>
      <c r="B19" s="33"/>
      <c r="C19" s="31"/>
      <c r="D19" s="126">
        <f>54796/1000</f>
        <v>54.796</v>
      </c>
      <c r="E19" s="126">
        <f>54796/1000</f>
        <v>54.796</v>
      </c>
      <c r="F19" s="126">
        <v>0</v>
      </c>
      <c r="G19" s="126">
        <v>0</v>
      </c>
      <c r="H19" s="126">
        <v>0</v>
      </c>
      <c r="I19" s="126">
        <v>0</v>
      </c>
    </row>
    <row r="20" spans="1:9" s="2" customFormat="1" ht="24" customHeight="1">
      <c r="A20" s="28" t="s">
        <v>48</v>
      </c>
      <c r="B20" s="33"/>
      <c r="C20" s="31"/>
      <c r="D20" s="126">
        <f>59695/1000</f>
        <v>59.695</v>
      </c>
      <c r="E20" s="126">
        <f>59695/1000</f>
        <v>59.695</v>
      </c>
      <c r="F20" s="126">
        <v>0</v>
      </c>
      <c r="G20" s="126">
        <v>0</v>
      </c>
      <c r="H20" s="126">
        <v>0</v>
      </c>
      <c r="I20" s="126">
        <v>0</v>
      </c>
    </row>
    <row r="21" spans="1:9" s="2" customFormat="1" ht="24" customHeight="1">
      <c r="A21" s="28" t="s">
        <v>636</v>
      </c>
      <c r="B21" s="33"/>
      <c r="C21" s="31"/>
      <c r="D21" s="126">
        <f>60000/1000</f>
        <v>60</v>
      </c>
      <c r="E21" s="126">
        <f>60000/1000</f>
        <v>60</v>
      </c>
      <c r="F21" s="126">
        <v>0</v>
      </c>
      <c r="G21" s="126">
        <v>0</v>
      </c>
      <c r="H21" s="126">
        <v>0</v>
      </c>
      <c r="I21" s="126">
        <v>0</v>
      </c>
    </row>
    <row r="22" spans="1:9" s="2" customFormat="1" ht="24" customHeight="1">
      <c r="A22" s="28" t="s">
        <v>530</v>
      </c>
      <c r="B22" s="28" t="s">
        <v>260</v>
      </c>
      <c r="C22" s="29"/>
      <c r="D22" s="126">
        <f>69000/1000</f>
        <v>69</v>
      </c>
      <c r="E22" s="126">
        <f>69000/1000</f>
        <v>69</v>
      </c>
      <c r="F22" s="126">
        <f>71500/1000</f>
        <v>71.5</v>
      </c>
      <c r="G22" s="126">
        <v>0</v>
      </c>
      <c r="H22" s="126">
        <v>0</v>
      </c>
      <c r="I22" s="126">
        <v>0</v>
      </c>
    </row>
    <row r="23" spans="1:9" s="2" customFormat="1" ht="23.25" customHeight="1">
      <c r="A23" s="28" t="s">
        <v>127</v>
      </c>
      <c r="B23" s="28" t="s">
        <v>24</v>
      </c>
      <c r="C23" s="29">
        <v>100000</v>
      </c>
      <c r="D23" s="126">
        <f>99000/1000</f>
        <v>99</v>
      </c>
      <c r="E23" s="126">
        <f>99000/1000</f>
        <v>99</v>
      </c>
      <c r="F23" s="126">
        <f>112000/1000</f>
        <v>112</v>
      </c>
      <c r="G23" s="126">
        <v>0</v>
      </c>
      <c r="H23" s="126">
        <v>0</v>
      </c>
      <c r="I23" s="126">
        <v>0</v>
      </c>
    </row>
    <row r="24" spans="1:9" s="2" customFormat="1" ht="36" customHeight="1">
      <c r="A24" s="28" t="s">
        <v>626</v>
      </c>
      <c r="B24" s="28"/>
      <c r="C24" s="29"/>
      <c r="D24" s="126">
        <f>99960/1000</f>
        <v>99.96</v>
      </c>
      <c r="E24" s="126">
        <f>99960/1000</f>
        <v>99.96</v>
      </c>
      <c r="F24" s="126">
        <v>0</v>
      </c>
      <c r="G24" s="126">
        <v>0</v>
      </c>
      <c r="H24" s="126">
        <v>0</v>
      </c>
      <c r="I24" s="126">
        <v>0</v>
      </c>
    </row>
    <row r="25" spans="1:9" s="2" customFormat="1" ht="24.75" customHeight="1">
      <c r="A25" s="28" t="s">
        <v>126</v>
      </c>
      <c r="B25" s="33"/>
      <c r="C25" s="31"/>
      <c r="D25" s="126">
        <f aca="true" t="shared" si="1" ref="D25:E27">100000/1000</f>
        <v>100</v>
      </c>
      <c r="E25" s="126">
        <f t="shared" si="1"/>
        <v>100</v>
      </c>
      <c r="F25" s="126">
        <v>0</v>
      </c>
      <c r="G25" s="126">
        <v>0</v>
      </c>
      <c r="H25" s="126">
        <v>0</v>
      </c>
      <c r="I25" s="126">
        <v>0</v>
      </c>
    </row>
    <row r="26" spans="1:9" s="2" customFormat="1" ht="25.5" customHeight="1">
      <c r="A26" s="12" t="s">
        <v>416</v>
      </c>
      <c r="B26" s="33"/>
      <c r="C26" s="31"/>
      <c r="D26" s="126">
        <f t="shared" si="1"/>
        <v>100</v>
      </c>
      <c r="E26" s="126">
        <f t="shared" si="1"/>
        <v>100</v>
      </c>
      <c r="F26" s="126">
        <v>0</v>
      </c>
      <c r="G26" s="126">
        <v>0</v>
      </c>
      <c r="H26" s="126">
        <v>0</v>
      </c>
      <c r="I26" s="126">
        <v>0</v>
      </c>
    </row>
    <row r="27" spans="1:9" s="2" customFormat="1" ht="26.25" customHeight="1">
      <c r="A27" s="12" t="s">
        <v>420</v>
      </c>
      <c r="B27" s="33"/>
      <c r="C27" s="31"/>
      <c r="D27" s="126">
        <f t="shared" si="1"/>
        <v>100</v>
      </c>
      <c r="E27" s="126">
        <f t="shared" si="1"/>
        <v>100</v>
      </c>
      <c r="F27" s="126">
        <v>0</v>
      </c>
      <c r="G27" s="126">
        <v>0</v>
      </c>
      <c r="H27" s="126">
        <v>0</v>
      </c>
      <c r="I27" s="126">
        <v>0</v>
      </c>
    </row>
    <row r="28" spans="1:9" s="2" customFormat="1" ht="39" customHeight="1">
      <c r="A28" s="12" t="s">
        <v>305</v>
      </c>
      <c r="B28" s="33"/>
      <c r="C28" s="31"/>
      <c r="D28" s="126">
        <f>130000/1000</f>
        <v>130</v>
      </c>
      <c r="E28" s="126">
        <f>130000/1000</f>
        <v>130</v>
      </c>
      <c r="F28" s="126">
        <v>0</v>
      </c>
      <c r="G28" s="126">
        <v>0</v>
      </c>
      <c r="H28" s="126">
        <v>0</v>
      </c>
      <c r="I28" s="126">
        <v>0</v>
      </c>
    </row>
    <row r="29" spans="1:9" s="2" customFormat="1" ht="14.25" customHeight="1">
      <c r="A29" s="12" t="s">
        <v>304</v>
      </c>
      <c r="B29" s="33"/>
      <c r="C29" s="31"/>
      <c r="D29" s="126">
        <f>137100/1000</f>
        <v>137.1</v>
      </c>
      <c r="E29" s="126">
        <f>137100/1000</f>
        <v>137.1</v>
      </c>
      <c r="F29" s="126">
        <v>0</v>
      </c>
      <c r="G29" s="126">
        <v>0</v>
      </c>
      <c r="H29" s="126">
        <v>0</v>
      </c>
      <c r="I29" s="126">
        <v>0</v>
      </c>
    </row>
    <row r="30" spans="1:9" s="2" customFormat="1" ht="27" customHeight="1">
      <c r="A30" s="28" t="s">
        <v>240</v>
      </c>
      <c r="B30" s="33"/>
      <c r="C30" s="31"/>
      <c r="D30" s="126">
        <f>148300/1000</f>
        <v>148.3</v>
      </c>
      <c r="E30" s="126">
        <f>148300/1000</f>
        <v>148.3</v>
      </c>
      <c r="F30" s="126">
        <v>0</v>
      </c>
      <c r="G30" s="126">
        <v>0</v>
      </c>
      <c r="H30" s="126">
        <v>0</v>
      </c>
      <c r="I30" s="126">
        <v>0</v>
      </c>
    </row>
    <row r="31" spans="1:9" s="2" customFormat="1" ht="36" customHeight="1">
      <c r="A31" s="12" t="s">
        <v>363</v>
      </c>
      <c r="B31" s="33"/>
      <c r="C31" s="31"/>
      <c r="D31" s="126">
        <f>149880/1000</f>
        <v>149.88</v>
      </c>
      <c r="E31" s="126">
        <f>149880/1000</f>
        <v>149.88</v>
      </c>
      <c r="F31" s="126">
        <v>0</v>
      </c>
      <c r="G31" s="126">
        <v>0</v>
      </c>
      <c r="H31" s="126">
        <v>0</v>
      </c>
      <c r="I31" s="126">
        <v>0</v>
      </c>
    </row>
    <row r="32" spans="1:9" s="2" customFormat="1" ht="12.75" customHeight="1">
      <c r="A32" s="28" t="s">
        <v>239</v>
      </c>
      <c r="B32" s="33"/>
      <c r="C32" s="31"/>
      <c r="D32" s="126">
        <f>150000/1000</f>
        <v>150</v>
      </c>
      <c r="E32" s="126">
        <f>150000/1000</f>
        <v>150</v>
      </c>
      <c r="F32" s="126">
        <v>0</v>
      </c>
      <c r="G32" s="126">
        <v>0</v>
      </c>
      <c r="H32" s="126">
        <v>0</v>
      </c>
      <c r="I32" s="126">
        <v>0</v>
      </c>
    </row>
    <row r="33" spans="1:9" s="2" customFormat="1" ht="12" customHeight="1">
      <c r="A33" s="12" t="s">
        <v>299</v>
      </c>
      <c r="B33" s="33"/>
      <c r="C33" s="31"/>
      <c r="D33" s="126">
        <f>150000/1000</f>
        <v>150</v>
      </c>
      <c r="E33" s="126">
        <f>150000/1000</f>
        <v>150</v>
      </c>
      <c r="F33" s="126">
        <v>0</v>
      </c>
      <c r="G33" s="126">
        <v>0</v>
      </c>
      <c r="H33" s="126">
        <v>0</v>
      </c>
      <c r="I33" s="126">
        <v>0</v>
      </c>
    </row>
    <row r="34" spans="1:9" s="2" customFormat="1" ht="24.75" customHeight="1">
      <c r="A34" s="12" t="s">
        <v>625</v>
      </c>
      <c r="B34" s="33"/>
      <c r="C34" s="31"/>
      <c r="D34" s="126">
        <f>152435/1000</f>
        <v>152.435</v>
      </c>
      <c r="E34" s="126">
        <f>152435/1000</f>
        <v>152.435</v>
      </c>
      <c r="F34" s="126">
        <v>0</v>
      </c>
      <c r="G34" s="126">
        <v>0</v>
      </c>
      <c r="H34" s="126">
        <v>0</v>
      </c>
      <c r="I34" s="126">
        <v>0</v>
      </c>
    </row>
    <row r="35" spans="1:9" s="2" customFormat="1" ht="24" customHeight="1">
      <c r="A35" s="12" t="s">
        <v>417</v>
      </c>
      <c r="B35" s="33"/>
      <c r="C35" s="31"/>
      <c r="D35" s="126">
        <f>160000/1000</f>
        <v>160</v>
      </c>
      <c r="E35" s="126">
        <f>160000/1000</f>
        <v>160</v>
      </c>
      <c r="F35" s="126">
        <v>0</v>
      </c>
      <c r="G35" s="126">
        <v>0</v>
      </c>
      <c r="H35" s="126">
        <v>0</v>
      </c>
      <c r="I35" s="126">
        <v>0</v>
      </c>
    </row>
    <row r="36" spans="1:9" s="2" customFormat="1" ht="26.25" customHeight="1">
      <c r="A36" s="12" t="s">
        <v>378</v>
      </c>
      <c r="B36" s="33"/>
      <c r="C36" s="31"/>
      <c r="D36" s="126">
        <f>160000/1000</f>
        <v>160</v>
      </c>
      <c r="E36" s="126">
        <f>160000/1000</f>
        <v>160</v>
      </c>
      <c r="F36" s="126">
        <v>0</v>
      </c>
      <c r="G36" s="126">
        <v>0</v>
      </c>
      <c r="H36" s="126">
        <v>0</v>
      </c>
      <c r="I36" s="126">
        <v>0</v>
      </c>
    </row>
    <row r="37" spans="1:9" s="2" customFormat="1" ht="15" customHeight="1">
      <c r="A37" s="12" t="s">
        <v>642</v>
      </c>
      <c r="B37" s="33"/>
      <c r="C37" s="31"/>
      <c r="D37" s="126">
        <f>167000/1000</f>
        <v>167</v>
      </c>
      <c r="E37" s="126">
        <f>88219.64/1000</f>
        <v>88.21964</v>
      </c>
      <c r="F37" s="126">
        <v>0</v>
      </c>
      <c r="G37" s="126">
        <v>0</v>
      </c>
      <c r="H37" s="126">
        <v>0</v>
      </c>
      <c r="I37" s="126">
        <v>0</v>
      </c>
    </row>
    <row r="38" spans="1:9" s="2" customFormat="1" ht="13.5" customHeight="1">
      <c r="A38" s="12" t="s">
        <v>301</v>
      </c>
      <c r="B38" s="33"/>
      <c r="C38" s="31"/>
      <c r="D38" s="126">
        <f>181800/1000</f>
        <v>181.8</v>
      </c>
      <c r="E38" s="126">
        <f>181800/1000</f>
        <v>181.8</v>
      </c>
      <c r="F38" s="126">
        <v>0</v>
      </c>
      <c r="G38" s="126">
        <v>0</v>
      </c>
      <c r="H38" s="126">
        <v>0</v>
      </c>
      <c r="I38" s="126">
        <v>0</v>
      </c>
    </row>
    <row r="39" spans="1:9" s="2" customFormat="1" ht="26.25" customHeight="1">
      <c r="A39" s="12" t="s">
        <v>419</v>
      </c>
      <c r="B39" s="33"/>
      <c r="C39" s="31"/>
      <c r="D39" s="126">
        <f>184655.14/1000</f>
        <v>184.65514000000002</v>
      </c>
      <c r="E39" s="126">
        <f>184655.14/1000</f>
        <v>184.65514000000002</v>
      </c>
      <c r="F39" s="126">
        <v>0</v>
      </c>
      <c r="G39" s="126">
        <v>0</v>
      </c>
      <c r="H39" s="126">
        <v>0</v>
      </c>
      <c r="I39" s="126">
        <v>0</v>
      </c>
    </row>
    <row r="40" spans="1:9" s="2" customFormat="1" ht="27" customHeight="1">
      <c r="A40" s="12" t="s">
        <v>621</v>
      </c>
      <c r="B40" s="33"/>
      <c r="C40" s="31"/>
      <c r="D40" s="126">
        <f>190000/1000</f>
        <v>190</v>
      </c>
      <c r="E40" s="126">
        <f>190000/1000</f>
        <v>190</v>
      </c>
      <c r="F40" s="126">
        <v>0</v>
      </c>
      <c r="G40" s="126">
        <v>0</v>
      </c>
      <c r="H40" s="126">
        <v>0</v>
      </c>
      <c r="I40" s="126">
        <v>0</v>
      </c>
    </row>
    <row r="41" spans="1:9" s="2" customFormat="1" ht="27.75" customHeight="1">
      <c r="A41" s="12" t="s">
        <v>541</v>
      </c>
      <c r="B41" s="33"/>
      <c r="C41" s="31"/>
      <c r="D41" s="126">
        <f>193530/1000</f>
        <v>193.53</v>
      </c>
      <c r="E41" s="126">
        <f>193530/1000</f>
        <v>193.53</v>
      </c>
      <c r="F41" s="126">
        <v>689</v>
      </c>
      <c r="G41" s="126">
        <f>762000/1000</f>
        <v>762</v>
      </c>
      <c r="H41" s="126">
        <f>803200/1000</f>
        <v>803.2</v>
      </c>
      <c r="I41" s="126">
        <f>803200/1000</f>
        <v>803.2</v>
      </c>
    </row>
    <row r="42" spans="1:9" s="2" customFormat="1" ht="24.75" customHeight="1">
      <c r="A42" s="28" t="s">
        <v>46</v>
      </c>
      <c r="B42" s="33"/>
      <c r="C42" s="31"/>
      <c r="D42" s="126">
        <f aca="true" t="shared" si="2" ref="D42:E44">200000/1000</f>
        <v>200</v>
      </c>
      <c r="E42" s="126">
        <f t="shared" si="2"/>
        <v>200</v>
      </c>
      <c r="F42" s="126">
        <v>0</v>
      </c>
      <c r="G42" s="126">
        <v>0</v>
      </c>
      <c r="H42" s="126">
        <v>0</v>
      </c>
      <c r="I42" s="126">
        <v>0</v>
      </c>
    </row>
    <row r="43" spans="1:9" s="2" customFormat="1" ht="26.25" customHeight="1">
      <c r="A43" s="12" t="s">
        <v>365</v>
      </c>
      <c r="B43" s="33"/>
      <c r="C43" s="31"/>
      <c r="D43" s="126">
        <f t="shared" si="2"/>
        <v>200</v>
      </c>
      <c r="E43" s="126">
        <f t="shared" si="2"/>
        <v>200</v>
      </c>
      <c r="F43" s="126">
        <v>0</v>
      </c>
      <c r="G43" s="126">
        <v>0</v>
      </c>
      <c r="H43" s="126">
        <v>0</v>
      </c>
      <c r="I43" s="126">
        <v>0</v>
      </c>
    </row>
    <row r="44" spans="1:9" s="2" customFormat="1" ht="15.75" customHeight="1">
      <c r="A44" s="12" t="s">
        <v>302</v>
      </c>
      <c r="B44" s="33"/>
      <c r="C44" s="31"/>
      <c r="D44" s="126">
        <f t="shared" si="2"/>
        <v>200</v>
      </c>
      <c r="E44" s="126">
        <f t="shared" si="2"/>
        <v>200</v>
      </c>
      <c r="F44" s="126">
        <v>0</v>
      </c>
      <c r="G44" s="126">
        <v>0</v>
      </c>
      <c r="H44" s="126">
        <v>0</v>
      </c>
      <c r="I44" s="126">
        <v>0</v>
      </c>
    </row>
    <row r="45" spans="1:9" s="2" customFormat="1" ht="25.5" customHeight="1">
      <c r="A45" s="12" t="s">
        <v>622</v>
      </c>
      <c r="B45" s="33"/>
      <c r="C45" s="31"/>
      <c r="D45" s="126">
        <f>219628.33/1000</f>
        <v>219.62832999999998</v>
      </c>
      <c r="E45" s="126">
        <f>219628.33/1000</f>
        <v>219.62832999999998</v>
      </c>
      <c r="F45" s="126">
        <v>0</v>
      </c>
      <c r="G45" s="126">
        <v>0</v>
      </c>
      <c r="H45" s="126">
        <v>0</v>
      </c>
      <c r="I45" s="126">
        <v>0</v>
      </c>
    </row>
    <row r="46" spans="1:9" s="2" customFormat="1" ht="24.75" customHeight="1">
      <c r="A46" s="28" t="s">
        <v>44</v>
      </c>
      <c r="B46" s="33"/>
      <c r="C46" s="31"/>
      <c r="D46" s="126">
        <f>219851/1000</f>
        <v>219.851</v>
      </c>
      <c r="E46" s="126">
        <f>219851/1000</f>
        <v>219.851</v>
      </c>
      <c r="F46" s="126">
        <v>0</v>
      </c>
      <c r="G46" s="126">
        <v>0</v>
      </c>
      <c r="H46" s="126">
        <v>0</v>
      </c>
      <c r="I46" s="126">
        <v>0</v>
      </c>
    </row>
    <row r="47" spans="1:9" s="2" customFormat="1" ht="24.75" customHeight="1">
      <c r="A47" s="28" t="s">
        <v>49</v>
      </c>
      <c r="B47" s="33"/>
      <c r="C47" s="31"/>
      <c r="D47" s="126">
        <f>220000/1000</f>
        <v>220</v>
      </c>
      <c r="E47" s="126">
        <f>220000/1000</f>
        <v>220</v>
      </c>
      <c r="F47" s="126">
        <v>0</v>
      </c>
      <c r="G47" s="126">
        <v>0</v>
      </c>
      <c r="H47" s="126">
        <v>0</v>
      </c>
      <c r="I47" s="126">
        <v>0</v>
      </c>
    </row>
    <row r="48" spans="1:9" s="2" customFormat="1" ht="24" customHeight="1">
      <c r="A48" s="12" t="s">
        <v>364</v>
      </c>
      <c r="B48" s="33"/>
      <c r="C48" s="31"/>
      <c r="D48" s="126">
        <f>225000/1000</f>
        <v>225</v>
      </c>
      <c r="E48" s="126">
        <f>225000/1000</f>
        <v>225</v>
      </c>
      <c r="F48" s="126">
        <v>0</v>
      </c>
      <c r="G48" s="126">
        <v>0</v>
      </c>
      <c r="H48" s="126">
        <v>0</v>
      </c>
      <c r="I48" s="126">
        <v>0</v>
      </c>
    </row>
    <row r="49" spans="1:9" s="2" customFormat="1" ht="25.5" customHeight="1">
      <c r="A49" s="28" t="s">
        <v>282</v>
      </c>
      <c r="B49" s="33"/>
      <c r="C49" s="31"/>
      <c r="D49" s="126">
        <f>229000/1000</f>
        <v>229</v>
      </c>
      <c r="E49" s="126">
        <f>229000/1000</f>
        <v>229</v>
      </c>
      <c r="F49" s="126">
        <v>0</v>
      </c>
      <c r="G49" s="126">
        <v>0</v>
      </c>
      <c r="H49" s="126">
        <v>0</v>
      </c>
      <c r="I49" s="126">
        <v>0</v>
      </c>
    </row>
    <row r="50" spans="1:9" s="2" customFormat="1" ht="24" customHeight="1">
      <c r="A50" s="28" t="s">
        <v>630</v>
      </c>
      <c r="B50" s="33"/>
      <c r="C50" s="31"/>
      <c r="D50" s="126">
        <f>235999.1/1000</f>
        <v>235.9991</v>
      </c>
      <c r="E50" s="126">
        <f>235999.1/1000</f>
        <v>235.9991</v>
      </c>
      <c r="F50" s="126">
        <v>0</v>
      </c>
      <c r="G50" s="126">
        <v>0</v>
      </c>
      <c r="H50" s="126">
        <v>0</v>
      </c>
      <c r="I50" s="126">
        <v>0</v>
      </c>
    </row>
    <row r="51" spans="1:9" s="2" customFormat="1" ht="25.5" customHeight="1">
      <c r="A51" s="28" t="s">
        <v>286</v>
      </c>
      <c r="B51" s="33"/>
      <c r="C51" s="31"/>
      <c r="D51" s="126">
        <f>237000/1000</f>
        <v>237</v>
      </c>
      <c r="E51" s="126">
        <f>237000/1000</f>
        <v>237</v>
      </c>
      <c r="F51" s="126">
        <v>0</v>
      </c>
      <c r="G51" s="126">
        <v>0</v>
      </c>
      <c r="H51" s="126">
        <v>0</v>
      </c>
      <c r="I51" s="126">
        <v>0</v>
      </c>
    </row>
    <row r="52" spans="1:9" s="2" customFormat="1" ht="35.25" customHeight="1">
      <c r="A52" s="28" t="s">
        <v>624</v>
      </c>
      <c r="B52" s="33"/>
      <c r="C52" s="31"/>
      <c r="D52" s="126">
        <f>289900/1000</f>
        <v>289.9</v>
      </c>
      <c r="E52" s="126">
        <f>289900/1000</f>
        <v>289.9</v>
      </c>
      <c r="F52" s="126">
        <v>0</v>
      </c>
      <c r="G52" s="126">
        <v>0</v>
      </c>
      <c r="H52" s="126">
        <v>0</v>
      </c>
      <c r="I52" s="126">
        <v>0</v>
      </c>
    </row>
    <row r="53" spans="1:9" s="2" customFormat="1" ht="24.75" customHeight="1">
      <c r="A53" s="28" t="s">
        <v>45</v>
      </c>
      <c r="B53" s="33"/>
      <c r="C53" s="31"/>
      <c r="D53" s="126">
        <f>(380000-82000)/1000</f>
        <v>298</v>
      </c>
      <c r="E53" s="126">
        <f>(380000-82000)/1000</f>
        <v>298</v>
      </c>
      <c r="F53" s="126">
        <v>0</v>
      </c>
      <c r="G53" s="126">
        <v>0</v>
      </c>
      <c r="H53" s="126">
        <v>0</v>
      </c>
      <c r="I53" s="126">
        <v>0</v>
      </c>
    </row>
    <row r="54" spans="1:9" s="2" customFormat="1" ht="14.25" customHeight="1">
      <c r="A54" s="12" t="s">
        <v>414</v>
      </c>
      <c r="B54" s="33"/>
      <c r="C54" s="31"/>
      <c r="D54" s="126">
        <f>350000/1000</f>
        <v>350</v>
      </c>
      <c r="E54" s="126">
        <f>350000/1000</f>
        <v>350</v>
      </c>
      <c r="F54" s="126">
        <v>0</v>
      </c>
      <c r="G54" s="126">
        <v>0</v>
      </c>
      <c r="H54" s="126">
        <v>0</v>
      </c>
      <c r="I54" s="126">
        <v>0</v>
      </c>
    </row>
    <row r="55" spans="1:9" s="2" customFormat="1" ht="17.25" customHeight="1">
      <c r="A55" s="12" t="s">
        <v>303</v>
      </c>
      <c r="B55" s="33"/>
      <c r="C55" s="31"/>
      <c r="D55" s="126">
        <f>350000/1000</f>
        <v>350</v>
      </c>
      <c r="E55" s="126">
        <f>350000/1000</f>
        <v>350</v>
      </c>
      <c r="F55" s="126">
        <v>0</v>
      </c>
      <c r="G55" s="126">
        <v>0</v>
      </c>
      <c r="H55" s="126">
        <v>0</v>
      </c>
      <c r="I55" s="126">
        <v>0</v>
      </c>
    </row>
    <row r="56" spans="1:9" s="2" customFormat="1" ht="25.5" customHeight="1">
      <c r="A56" s="28" t="s">
        <v>43</v>
      </c>
      <c r="B56" s="33"/>
      <c r="C56" s="31"/>
      <c r="D56" s="126">
        <f>399051.77/1000</f>
        <v>399.05177000000003</v>
      </c>
      <c r="E56" s="126">
        <f>399051.77/1000</f>
        <v>399.05177000000003</v>
      </c>
      <c r="F56" s="126">
        <v>0</v>
      </c>
      <c r="G56" s="126">
        <v>0</v>
      </c>
      <c r="H56" s="126">
        <v>0</v>
      </c>
      <c r="I56" s="126">
        <v>0</v>
      </c>
    </row>
    <row r="57" spans="1:9" s="2" customFormat="1" ht="26.25" customHeight="1">
      <c r="A57" s="28" t="s">
        <v>51</v>
      </c>
      <c r="B57" s="33"/>
      <c r="C57" s="31"/>
      <c r="D57" s="126">
        <f>399500/1000</f>
        <v>399.5</v>
      </c>
      <c r="E57" s="126">
        <f>399500/1000</f>
        <v>399.5</v>
      </c>
      <c r="F57" s="126">
        <v>0</v>
      </c>
      <c r="G57" s="126">
        <v>0</v>
      </c>
      <c r="H57" s="126">
        <v>0</v>
      </c>
      <c r="I57" s="126">
        <v>0</v>
      </c>
    </row>
    <row r="58" spans="1:9" s="2" customFormat="1" ht="14.25" customHeight="1">
      <c r="A58" s="28" t="s">
        <v>42</v>
      </c>
      <c r="B58" s="33"/>
      <c r="C58" s="31"/>
      <c r="D58" s="126">
        <f>402000/1000</f>
        <v>402</v>
      </c>
      <c r="E58" s="126">
        <f>402000/1000</f>
        <v>402</v>
      </c>
      <c r="F58" s="126">
        <v>0</v>
      </c>
      <c r="G58" s="126">
        <v>0</v>
      </c>
      <c r="H58" s="126">
        <v>0</v>
      </c>
      <c r="I58" s="126">
        <v>0</v>
      </c>
    </row>
    <row r="59" spans="1:9" s="2" customFormat="1" ht="24.75" customHeight="1">
      <c r="A59" s="28" t="s">
        <v>283</v>
      </c>
      <c r="B59" s="33"/>
      <c r="C59" s="31"/>
      <c r="D59" s="126">
        <f>450000/1000</f>
        <v>450</v>
      </c>
      <c r="E59" s="126">
        <f>450000/1000</f>
        <v>450</v>
      </c>
      <c r="F59" s="126">
        <v>0</v>
      </c>
      <c r="G59" s="126">
        <v>0</v>
      </c>
      <c r="H59" s="126">
        <v>0</v>
      </c>
      <c r="I59" s="126">
        <v>0</v>
      </c>
    </row>
    <row r="60" spans="1:9" s="2" customFormat="1" ht="23.25" customHeight="1">
      <c r="A60" s="28" t="s">
        <v>52</v>
      </c>
      <c r="B60" s="33"/>
      <c r="C60" s="31"/>
      <c r="D60" s="126">
        <f>485708/1000</f>
        <v>485.708</v>
      </c>
      <c r="E60" s="126">
        <f>485708/1000</f>
        <v>485.708</v>
      </c>
      <c r="F60" s="126">
        <v>0</v>
      </c>
      <c r="G60" s="126">
        <v>0</v>
      </c>
      <c r="H60" s="126">
        <v>0</v>
      </c>
      <c r="I60" s="126">
        <v>0</v>
      </c>
    </row>
    <row r="61" spans="1:9" s="2" customFormat="1" ht="24" customHeight="1">
      <c r="A61" s="28" t="s">
        <v>500</v>
      </c>
      <c r="B61" s="33"/>
      <c r="C61" s="31"/>
      <c r="D61" s="126">
        <f>500000/1000</f>
        <v>500</v>
      </c>
      <c r="E61" s="126">
        <f>400000/1000</f>
        <v>400</v>
      </c>
      <c r="F61" s="126">
        <v>0</v>
      </c>
      <c r="G61" s="126">
        <v>0</v>
      </c>
      <c r="H61" s="126">
        <v>0</v>
      </c>
      <c r="I61" s="126">
        <v>0</v>
      </c>
    </row>
    <row r="62" spans="1:9" s="2" customFormat="1" ht="60.75" customHeight="1">
      <c r="A62" s="28" t="s">
        <v>3</v>
      </c>
      <c r="B62" s="33"/>
      <c r="C62" s="31"/>
      <c r="D62" s="126">
        <f>789000/1000</f>
        <v>789</v>
      </c>
      <c r="E62" s="126">
        <f>789000/1000</f>
        <v>789</v>
      </c>
      <c r="F62" s="126">
        <v>0</v>
      </c>
      <c r="G62" s="126">
        <v>0</v>
      </c>
      <c r="H62" s="126">
        <v>0</v>
      </c>
      <c r="I62" s="126">
        <v>0</v>
      </c>
    </row>
    <row r="63" spans="1:9" s="2" customFormat="1" ht="24" customHeight="1">
      <c r="A63" s="28" t="s">
        <v>113</v>
      </c>
      <c r="B63" s="33"/>
      <c r="C63" s="31"/>
      <c r="D63" s="126">
        <f>800000/1000</f>
        <v>800</v>
      </c>
      <c r="E63" s="126">
        <f>800000/1000</f>
        <v>800</v>
      </c>
      <c r="F63" s="126">
        <v>0</v>
      </c>
      <c r="G63" s="126">
        <v>0</v>
      </c>
      <c r="H63" s="126">
        <v>0</v>
      </c>
      <c r="I63" s="126">
        <v>0</v>
      </c>
    </row>
    <row r="64" spans="1:9" s="2" customFormat="1" ht="13.5" customHeight="1">
      <c r="A64" s="12" t="s">
        <v>300</v>
      </c>
      <c r="B64" s="33"/>
      <c r="C64" s="31"/>
      <c r="D64" s="126">
        <f>809289/1000</f>
        <v>809.289</v>
      </c>
      <c r="E64" s="126">
        <f>809289/1000</f>
        <v>809.289</v>
      </c>
      <c r="F64" s="126">
        <v>0</v>
      </c>
      <c r="G64" s="126">
        <v>0</v>
      </c>
      <c r="H64" s="126">
        <v>0</v>
      </c>
      <c r="I64" s="126">
        <v>0</v>
      </c>
    </row>
    <row r="65" spans="1:9" s="2" customFormat="1" ht="27" customHeight="1">
      <c r="A65" s="28" t="s">
        <v>285</v>
      </c>
      <c r="B65" s="33"/>
      <c r="C65" s="31"/>
      <c r="D65" s="126">
        <f>876000/1000</f>
        <v>876</v>
      </c>
      <c r="E65" s="126">
        <f>876000/1000</f>
        <v>876</v>
      </c>
      <c r="F65" s="126">
        <v>0</v>
      </c>
      <c r="G65" s="126">
        <v>0</v>
      </c>
      <c r="H65" s="126">
        <v>0</v>
      </c>
      <c r="I65" s="126">
        <v>0</v>
      </c>
    </row>
    <row r="66" spans="1:9" s="2" customFormat="1" ht="24.75" customHeight="1">
      <c r="A66" s="28" t="s">
        <v>55</v>
      </c>
      <c r="B66" s="28" t="s">
        <v>2</v>
      </c>
      <c r="C66" s="29">
        <v>790700</v>
      </c>
      <c r="D66" s="126">
        <f>930500/1000</f>
        <v>930.5</v>
      </c>
      <c r="E66" s="126">
        <f>930500/1000</f>
        <v>930.5</v>
      </c>
      <c r="F66" s="126">
        <f>1008800/1000</f>
        <v>1008.8</v>
      </c>
      <c r="G66" s="126">
        <f>1029400/1000</f>
        <v>1029.4</v>
      </c>
      <c r="H66" s="126">
        <f>1029400/1000</f>
        <v>1029.4</v>
      </c>
      <c r="I66" s="126">
        <f>1029400/1000</f>
        <v>1029.4</v>
      </c>
    </row>
    <row r="67" spans="1:9" s="2" customFormat="1" ht="15" customHeight="1">
      <c r="A67" s="28" t="s">
        <v>41</v>
      </c>
      <c r="B67" s="33"/>
      <c r="C67" s="31"/>
      <c r="D67" s="126">
        <f>1000000/1000</f>
        <v>1000</v>
      </c>
      <c r="E67" s="126">
        <f>1000000/1000</f>
        <v>1000</v>
      </c>
      <c r="F67" s="126">
        <v>0</v>
      </c>
      <c r="G67" s="126">
        <v>0</v>
      </c>
      <c r="H67" s="126">
        <v>0</v>
      </c>
      <c r="I67" s="126">
        <v>0</v>
      </c>
    </row>
    <row r="68" spans="1:9" s="2" customFormat="1" ht="24" customHeight="1">
      <c r="A68" s="28" t="s">
        <v>47</v>
      </c>
      <c r="B68" s="33"/>
      <c r="C68" s="31"/>
      <c r="D68" s="126">
        <f>1004363.24/1000</f>
        <v>1004.36324</v>
      </c>
      <c r="E68" s="126">
        <f>1004363.24/1000</f>
        <v>1004.36324</v>
      </c>
      <c r="F68" s="126">
        <v>0</v>
      </c>
      <c r="G68" s="126">
        <v>0</v>
      </c>
      <c r="H68" s="126">
        <v>0</v>
      </c>
      <c r="I68" s="126">
        <v>0</v>
      </c>
    </row>
    <row r="69" spans="1:9" s="2" customFormat="1" ht="28.5" customHeight="1">
      <c r="A69" s="12" t="s">
        <v>418</v>
      </c>
      <c r="B69" s="33"/>
      <c r="C69" s="31"/>
      <c r="D69" s="126">
        <f>(2241000-1000000)/1000</f>
        <v>1241</v>
      </c>
      <c r="E69" s="126">
        <f>(2241000-1000000)/1000</f>
        <v>1241</v>
      </c>
      <c r="F69" s="126">
        <v>0</v>
      </c>
      <c r="G69" s="126">
        <v>0</v>
      </c>
      <c r="H69" s="126">
        <v>0</v>
      </c>
      <c r="I69" s="126">
        <v>0</v>
      </c>
    </row>
    <row r="70" spans="1:9" s="2" customFormat="1" ht="13.5" customHeight="1">
      <c r="A70" s="12" t="s">
        <v>623</v>
      </c>
      <c r="B70" s="33"/>
      <c r="C70" s="31"/>
      <c r="D70" s="126">
        <f>1783108.41/1000</f>
        <v>1783.1084099999998</v>
      </c>
      <c r="E70" s="126">
        <f>1783108.41/1000</f>
        <v>1783.1084099999998</v>
      </c>
      <c r="F70" s="126">
        <v>0</v>
      </c>
      <c r="G70" s="126">
        <v>0</v>
      </c>
      <c r="H70" s="126">
        <v>0</v>
      </c>
      <c r="I70" s="126">
        <v>0</v>
      </c>
    </row>
    <row r="71" spans="1:9" s="2" customFormat="1" ht="36.75" customHeight="1">
      <c r="A71" s="28" t="s">
        <v>428</v>
      </c>
      <c r="B71" s="28" t="s">
        <v>210</v>
      </c>
      <c r="C71" s="31"/>
      <c r="D71" s="126">
        <f>1811403/1000</f>
        <v>1811.403</v>
      </c>
      <c r="E71" s="126">
        <f>1801403/1000</f>
        <v>1801.403</v>
      </c>
      <c r="F71" s="126">
        <f>510000/1000</f>
        <v>510</v>
      </c>
      <c r="G71" s="126">
        <f>510300/1000</f>
        <v>510.3</v>
      </c>
      <c r="H71" s="126">
        <f>510300/1000</f>
        <v>510.3</v>
      </c>
      <c r="I71" s="126">
        <f>510300/1000</f>
        <v>510.3</v>
      </c>
    </row>
    <row r="72" spans="1:9" s="2" customFormat="1" ht="25.5" customHeight="1">
      <c r="A72" s="28" t="s">
        <v>499</v>
      </c>
      <c r="B72" s="33"/>
      <c r="C72" s="31"/>
      <c r="D72" s="126">
        <f>1826364.83/1000</f>
        <v>1826.36483</v>
      </c>
      <c r="E72" s="126">
        <f>1826364.83/1000</f>
        <v>1826.36483</v>
      </c>
      <c r="F72" s="126">
        <v>0</v>
      </c>
      <c r="G72" s="126">
        <v>0</v>
      </c>
      <c r="H72" s="126">
        <v>0</v>
      </c>
      <c r="I72" s="126">
        <v>0</v>
      </c>
    </row>
    <row r="73" spans="1:9" s="2" customFormat="1" ht="48" customHeight="1">
      <c r="A73" s="28" t="s">
        <v>628</v>
      </c>
      <c r="B73" s="33"/>
      <c r="C73" s="31"/>
      <c r="D73" s="126">
        <f>1993971.2/1000</f>
        <v>1993.9712</v>
      </c>
      <c r="E73" s="126">
        <f>1993971.2/1000</f>
        <v>1993.9712</v>
      </c>
      <c r="F73" s="126">
        <v>0</v>
      </c>
      <c r="G73" s="126">
        <v>0</v>
      </c>
      <c r="H73" s="126">
        <v>0</v>
      </c>
      <c r="I73" s="126">
        <v>0</v>
      </c>
    </row>
    <row r="74" spans="1:9" s="2" customFormat="1" ht="24.75" customHeight="1">
      <c r="A74" s="28" t="s">
        <v>284</v>
      </c>
      <c r="B74" s="33"/>
      <c r="C74" s="31"/>
      <c r="D74" s="126">
        <f>2535000/1000</f>
        <v>2535</v>
      </c>
      <c r="E74" s="126">
        <f>2535000/1000</f>
        <v>2535</v>
      </c>
      <c r="F74" s="126">
        <f>3825100/1000</f>
        <v>3825.1</v>
      </c>
      <c r="G74" s="126">
        <v>0</v>
      </c>
      <c r="H74" s="126">
        <v>0</v>
      </c>
      <c r="I74" s="126">
        <v>0</v>
      </c>
    </row>
    <row r="75" spans="1:9" s="2" customFormat="1" ht="46.5" customHeight="1">
      <c r="A75" s="28" t="s">
        <v>629</v>
      </c>
      <c r="B75" s="33"/>
      <c r="C75" s="31"/>
      <c r="D75" s="126">
        <f>2543770/1000</f>
        <v>2543.77</v>
      </c>
      <c r="E75" s="126">
        <f>2543770/1000</f>
        <v>2543.77</v>
      </c>
      <c r="F75" s="126">
        <v>0</v>
      </c>
      <c r="G75" s="126">
        <v>0</v>
      </c>
      <c r="H75" s="126">
        <v>0</v>
      </c>
      <c r="I75" s="126">
        <v>0</v>
      </c>
    </row>
    <row r="76" spans="1:9" s="2" customFormat="1" ht="38.25" customHeight="1">
      <c r="A76" s="28" t="s">
        <v>527</v>
      </c>
      <c r="B76" s="28" t="s">
        <v>1</v>
      </c>
      <c r="C76" s="29">
        <v>3640000</v>
      </c>
      <c r="D76" s="126">
        <f>2749184.4/1000</f>
        <v>2749.1844</v>
      </c>
      <c r="E76" s="126">
        <f>2503165.91/1000</f>
        <v>2503.16591</v>
      </c>
      <c r="F76" s="126">
        <f>2376500/1000</f>
        <v>2376.5</v>
      </c>
      <c r="G76" s="126">
        <f>2377000/1000</f>
        <v>2377</v>
      </c>
      <c r="H76" s="126">
        <f>2377000/1000</f>
        <v>2377</v>
      </c>
      <c r="I76" s="126">
        <f>2377000/1000</f>
        <v>2377</v>
      </c>
    </row>
    <row r="77" spans="1:9" s="2" customFormat="1" ht="36.75" customHeight="1">
      <c r="A77" s="28" t="s">
        <v>54</v>
      </c>
      <c r="B77" s="33"/>
      <c r="C77" s="31"/>
      <c r="D77" s="126">
        <f>3300218/1000</f>
        <v>3300.218</v>
      </c>
      <c r="E77" s="126">
        <f>3300218/1000</f>
        <v>3300.218</v>
      </c>
      <c r="F77" s="126">
        <v>0</v>
      </c>
      <c r="G77" s="126">
        <v>0</v>
      </c>
      <c r="H77" s="126">
        <v>0</v>
      </c>
      <c r="I77" s="126">
        <v>1</v>
      </c>
    </row>
    <row r="78" spans="1:9" s="2" customFormat="1" ht="36.75" customHeight="1">
      <c r="A78" s="28" t="s">
        <v>526</v>
      </c>
      <c r="B78" s="28" t="s">
        <v>38</v>
      </c>
      <c r="C78" s="29"/>
      <c r="D78" s="126">
        <f>3632000/1000</f>
        <v>3632</v>
      </c>
      <c r="E78" s="126">
        <f>2963011.39/1000</f>
        <v>2963.01139</v>
      </c>
      <c r="F78" s="126">
        <f>1096000/1000</f>
        <v>1096</v>
      </c>
      <c r="G78" s="126">
        <f>1096000/1000</f>
        <v>1096</v>
      </c>
      <c r="H78" s="126">
        <f>1096000/1000</f>
        <v>1096</v>
      </c>
      <c r="I78" s="126">
        <f>1096000/1000</f>
        <v>1096</v>
      </c>
    </row>
    <row r="79" spans="1:9" s="2" customFormat="1" ht="24.75" customHeight="1">
      <c r="A79" s="28" t="s">
        <v>528</v>
      </c>
      <c r="B79" s="28" t="s">
        <v>8</v>
      </c>
      <c r="C79" s="29">
        <v>3864000</v>
      </c>
      <c r="D79" s="126">
        <f>3710000/1000</f>
        <v>3710</v>
      </c>
      <c r="E79" s="126">
        <f>3670945.8/1000</f>
        <v>3670.9458</v>
      </c>
      <c r="F79" s="126">
        <f>4047000/1000</f>
        <v>4047</v>
      </c>
      <c r="G79" s="126">
        <f>4126000/1000</f>
        <v>4126</v>
      </c>
      <c r="H79" s="126">
        <f>4126000/1000</f>
        <v>4126</v>
      </c>
      <c r="I79" s="126">
        <f>4126000/1000</f>
        <v>4126</v>
      </c>
    </row>
    <row r="80" spans="1:9" s="2" customFormat="1" ht="13.5" customHeight="1">
      <c r="A80" s="28" t="s">
        <v>435</v>
      </c>
      <c r="B80" s="33"/>
      <c r="C80" s="31"/>
      <c r="D80" s="126">
        <f>5000000/1000</f>
        <v>5000</v>
      </c>
      <c r="E80" s="126">
        <f>5000000/1000</f>
        <v>5000</v>
      </c>
      <c r="F80" s="126">
        <v>0</v>
      </c>
      <c r="G80" s="126">
        <v>0</v>
      </c>
      <c r="H80" s="126">
        <v>0</v>
      </c>
      <c r="I80" s="126">
        <v>0</v>
      </c>
    </row>
    <row r="81" spans="1:9" s="2" customFormat="1" ht="24" customHeight="1">
      <c r="A81" s="28" t="s">
        <v>504</v>
      </c>
      <c r="B81" s="28" t="s">
        <v>9</v>
      </c>
      <c r="C81" s="29"/>
      <c r="D81" s="126">
        <f>6514000/1000</f>
        <v>6514</v>
      </c>
      <c r="E81" s="126">
        <f>6514000/1000</f>
        <v>6514</v>
      </c>
      <c r="F81" s="126">
        <v>0</v>
      </c>
      <c r="G81" s="126">
        <v>0</v>
      </c>
      <c r="H81" s="126">
        <v>0</v>
      </c>
      <c r="I81" s="126">
        <v>0</v>
      </c>
    </row>
    <row r="82" spans="1:9" s="2" customFormat="1" ht="60" customHeight="1">
      <c r="A82" s="28" t="s">
        <v>525</v>
      </c>
      <c r="B82" s="30" t="s">
        <v>102</v>
      </c>
      <c r="C82" s="29">
        <v>31653000</v>
      </c>
      <c r="D82" s="128">
        <f>9237000/1000</f>
        <v>9237</v>
      </c>
      <c r="E82" s="128">
        <f>9237000/1000</f>
        <v>9237</v>
      </c>
      <c r="F82" s="126">
        <f>16705000/1000</f>
        <v>16705</v>
      </c>
      <c r="G82" s="126">
        <f>(7919000+6419200)/1000</f>
        <v>14338.2</v>
      </c>
      <c r="H82" s="126">
        <f>(7919000+6765900)/1000</f>
        <v>14684.9</v>
      </c>
      <c r="I82" s="126">
        <f>(7919000+6765900)/1000</f>
        <v>14684.9</v>
      </c>
    </row>
    <row r="83" spans="1:9" s="2" customFormat="1" ht="37.5" customHeight="1">
      <c r="A83" s="32" t="s">
        <v>393</v>
      </c>
      <c r="B83" s="28"/>
      <c r="C83" s="31"/>
      <c r="D83" s="126">
        <f>10000000/1000</f>
        <v>10000</v>
      </c>
      <c r="E83" s="126">
        <f>10000000/1000</f>
        <v>10000</v>
      </c>
      <c r="F83" s="126">
        <v>0</v>
      </c>
      <c r="G83" s="126">
        <v>0</v>
      </c>
      <c r="H83" s="126">
        <v>0</v>
      </c>
      <c r="I83" s="126">
        <v>0</v>
      </c>
    </row>
    <row r="84" spans="1:9" s="2" customFormat="1" ht="48" customHeight="1">
      <c r="A84" s="28" t="s">
        <v>354</v>
      </c>
      <c r="B84" s="30" t="s">
        <v>102</v>
      </c>
      <c r="C84" s="27">
        <v>7631000</v>
      </c>
      <c r="D84" s="126">
        <f>14740395.42/1000</f>
        <v>14740.39542</v>
      </c>
      <c r="E84" s="126">
        <f>14739682.95/1000</f>
        <v>14739.682949999999</v>
      </c>
      <c r="F84" s="126">
        <v>0</v>
      </c>
      <c r="G84" s="126">
        <v>0</v>
      </c>
      <c r="H84" s="126">
        <v>0</v>
      </c>
      <c r="I84" s="126">
        <v>0</v>
      </c>
    </row>
    <row r="85" spans="1:9" s="2" customFormat="1" ht="25.5" customHeight="1">
      <c r="A85" s="28" t="s">
        <v>529</v>
      </c>
      <c r="B85" s="28" t="s">
        <v>37</v>
      </c>
      <c r="C85" s="29">
        <v>17262000</v>
      </c>
      <c r="D85" s="126">
        <f>14976400/1000</f>
        <v>14976.4</v>
      </c>
      <c r="E85" s="126">
        <f>12790618.26/1000</f>
        <v>12790.61826</v>
      </c>
      <c r="F85" s="126">
        <f>17542100/1000</f>
        <v>17542.1</v>
      </c>
      <c r="G85" s="126">
        <f>13024000/1000</f>
        <v>13024</v>
      </c>
      <c r="H85" s="126">
        <f>13024000/1000</f>
        <v>13024</v>
      </c>
      <c r="I85" s="126">
        <f>13024000/1000</f>
        <v>13024</v>
      </c>
    </row>
    <row r="86" spans="1:9" s="2" customFormat="1" ht="27.75" customHeight="1">
      <c r="A86" s="12" t="s">
        <v>542</v>
      </c>
      <c r="B86" s="33"/>
      <c r="C86" s="31"/>
      <c r="D86" s="126"/>
      <c r="E86" s="126"/>
      <c r="F86" s="126">
        <f>1000000/1000</f>
        <v>1000</v>
      </c>
      <c r="G86" s="126">
        <v>0</v>
      </c>
      <c r="H86" s="126">
        <v>0</v>
      </c>
      <c r="I86" s="126">
        <v>0</v>
      </c>
    </row>
    <row r="87" spans="1:9" s="2" customFormat="1" ht="29.25" customHeight="1">
      <c r="A87" s="12" t="s">
        <v>715</v>
      </c>
      <c r="B87" s="33"/>
      <c r="C87" s="31"/>
      <c r="D87" s="126"/>
      <c r="E87" s="126"/>
      <c r="F87" s="126">
        <f>17115/1000</f>
        <v>17.115</v>
      </c>
      <c r="G87" s="126"/>
      <c r="H87" s="126"/>
      <c r="I87" s="126"/>
    </row>
    <row r="88" spans="1:9" s="2" customFormat="1" ht="15.75" customHeight="1">
      <c r="A88" s="12" t="s">
        <v>716</v>
      </c>
      <c r="B88" s="33"/>
      <c r="C88" s="31"/>
      <c r="D88" s="126"/>
      <c r="E88" s="126"/>
      <c r="F88" s="126">
        <f>24157/1000</f>
        <v>24.157</v>
      </c>
      <c r="G88" s="126"/>
      <c r="H88" s="126"/>
      <c r="I88" s="126"/>
    </row>
    <row r="89" spans="1:9" s="2" customFormat="1" ht="27.75" customHeight="1">
      <c r="A89" s="12" t="s">
        <v>717</v>
      </c>
      <c r="B89" s="33"/>
      <c r="C89" s="31"/>
      <c r="D89" s="126"/>
      <c r="E89" s="126"/>
      <c r="F89" s="126">
        <f>92843/1000</f>
        <v>92.843</v>
      </c>
      <c r="G89" s="126"/>
      <c r="H89" s="126"/>
      <c r="I89" s="126"/>
    </row>
    <row r="90" spans="1:9" s="2" customFormat="1" ht="27" customHeight="1">
      <c r="A90" s="12" t="s">
        <v>718</v>
      </c>
      <c r="B90" s="33"/>
      <c r="C90" s="31"/>
      <c r="D90" s="126"/>
      <c r="E90" s="126"/>
      <c r="F90" s="126">
        <f>93000/1000</f>
        <v>93</v>
      </c>
      <c r="G90" s="126"/>
      <c r="H90" s="126"/>
      <c r="I90" s="126"/>
    </row>
    <row r="91" spans="1:9" s="2" customFormat="1" ht="27" customHeight="1">
      <c r="A91" s="12" t="s">
        <v>719</v>
      </c>
      <c r="B91" s="33"/>
      <c r="C91" s="31"/>
      <c r="D91" s="126"/>
      <c r="E91" s="126"/>
      <c r="F91" s="126">
        <f>100000/1000</f>
        <v>100</v>
      </c>
      <c r="G91" s="126"/>
      <c r="H91" s="126"/>
      <c r="I91" s="126"/>
    </row>
    <row r="92" spans="1:9" s="2" customFormat="1" ht="27" customHeight="1">
      <c r="A92" s="12" t="s">
        <v>720</v>
      </c>
      <c r="B92" s="33"/>
      <c r="C92" s="31"/>
      <c r="D92" s="126"/>
      <c r="E92" s="126"/>
      <c r="F92" s="126">
        <f>172000/1000</f>
        <v>172</v>
      </c>
      <c r="G92" s="126"/>
      <c r="H92" s="126"/>
      <c r="I92" s="126"/>
    </row>
    <row r="93" spans="1:9" s="2" customFormat="1" ht="27" customHeight="1">
      <c r="A93" s="12" t="s">
        <v>721</v>
      </c>
      <c r="B93" s="33"/>
      <c r="C93" s="31"/>
      <c r="D93" s="126"/>
      <c r="E93" s="126"/>
      <c r="F93" s="126">
        <f>180000/1000</f>
        <v>180</v>
      </c>
      <c r="G93" s="126"/>
      <c r="H93" s="126"/>
      <c r="I93" s="126"/>
    </row>
    <row r="94" spans="1:9" s="2" customFormat="1" ht="50.25" customHeight="1">
      <c r="A94" s="12" t="s">
        <v>722</v>
      </c>
      <c r="B94" s="33"/>
      <c r="C94" s="31"/>
      <c r="D94" s="126"/>
      <c r="E94" s="126"/>
      <c r="F94" s="126">
        <f>950000/1000</f>
        <v>950</v>
      </c>
      <c r="G94" s="126"/>
      <c r="H94" s="126"/>
      <c r="I94" s="126"/>
    </row>
    <row r="95" spans="1:9" s="2" customFormat="1" ht="28.5" customHeight="1">
      <c r="A95" s="12" t="s">
        <v>723</v>
      </c>
      <c r="B95" s="33"/>
      <c r="C95" s="31"/>
      <c r="D95" s="126"/>
      <c r="E95" s="126"/>
      <c r="F95" s="126">
        <f>2800000/1000</f>
        <v>2800</v>
      </c>
      <c r="G95" s="126"/>
      <c r="H95" s="126"/>
      <c r="I95" s="126"/>
    </row>
    <row r="96" spans="1:9" s="2" customFormat="1" ht="23.25" customHeight="1">
      <c r="A96" s="12" t="s">
        <v>724</v>
      </c>
      <c r="B96" s="33"/>
      <c r="C96" s="31"/>
      <c r="D96" s="126"/>
      <c r="E96" s="126"/>
      <c r="F96" s="126">
        <f>4987200/1000</f>
        <v>4987.2</v>
      </c>
      <c r="G96" s="126"/>
      <c r="H96" s="126"/>
      <c r="I96" s="126"/>
    </row>
    <row r="97" spans="1:9" s="2" customFormat="1" ht="27" customHeight="1">
      <c r="A97" s="12" t="s">
        <v>933</v>
      </c>
      <c r="B97" s="33"/>
      <c r="C97" s="31"/>
      <c r="D97" s="126"/>
      <c r="E97" s="126"/>
      <c r="F97" s="126">
        <f>42550/1000</f>
        <v>42.55</v>
      </c>
      <c r="G97" s="126"/>
      <c r="H97" s="126"/>
      <c r="I97" s="126"/>
    </row>
    <row r="98" spans="1:9" s="2" customFormat="1" ht="27" customHeight="1">
      <c r="A98" s="12" t="s">
        <v>934</v>
      </c>
      <c r="B98" s="33"/>
      <c r="C98" s="31"/>
      <c r="D98" s="126"/>
      <c r="E98" s="126"/>
      <c r="F98" s="126">
        <f>97018/1000</f>
        <v>97.018</v>
      </c>
      <c r="G98" s="126"/>
      <c r="H98" s="126"/>
      <c r="I98" s="126"/>
    </row>
    <row r="99" spans="1:9" s="2" customFormat="1" ht="27" customHeight="1">
      <c r="A99" s="12" t="s">
        <v>935</v>
      </c>
      <c r="B99" s="33"/>
      <c r="C99" s="31"/>
      <c r="D99" s="126"/>
      <c r="E99" s="126"/>
      <c r="F99" s="126">
        <f>140000/1000</f>
        <v>140</v>
      </c>
      <c r="G99" s="126"/>
      <c r="H99" s="126"/>
      <c r="I99" s="126"/>
    </row>
    <row r="100" spans="1:9" s="2" customFormat="1" ht="42" customHeight="1">
      <c r="A100" s="12" t="s">
        <v>936</v>
      </c>
      <c r="B100" s="33"/>
      <c r="C100" s="31"/>
      <c r="D100" s="126"/>
      <c r="E100" s="126"/>
      <c r="F100" s="126">
        <f>1285000/1000</f>
        <v>1285</v>
      </c>
      <c r="G100" s="126"/>
      <c r="H100" s="126"/>
      <c r="I100" s="126"/>
    </row>
    <row r="101" spans="1:9" s="2" customFormat="1" ht="37.5" customHeight="1">
      <c r="A101" s="12" t="s">
        <v>937</v>
      </c>
      <c r="B101" s="33"/>
      <c r="C101" s="31"/>
      <c r="D101" s="126"/>
      <c r="E101" s="126"/>
      <c r="F101" s="126">
        <f>1387500/1000</f>
        <v>1387.5</v>
      </c>
      <c r="G101" s="126"/>
      <c r="H101" s="126"/>
      <c r="I101" s="126"/>
    </row>
    <row r="102" spans="1:9" s="2" customFormat="1" ht="39.75" customHeight="1" hidden="1">
      <c r="A102" s="12" t="s">
        <v>981</v>
      </c>
      <c r="B102" s="33"/>
      <c r="C102" s="31"/>
      <c r="D102" s="126"/>
      <c r="E102" s="126"/>
      <c r="F102" s="126">
        <v>0</v>
      </c>
      <c r="G102" s="126"/>
      <c r="H102" s="126"/>
      <c r="I102" s="126"/>
    </row>
    <row r="103" spans="1:9" s="2" customFormat="1" ht="51.75" customHeight="1" hidden="1">
      <c r="A103" s="12" t="s">
        <v>982</v>
      </c>
      <c r="B103" s="33"/>
      <c r="C103" s="31"/>
      <c r="D103" s="126"/>
      <c r="E103" s="126"/>
      <c r="F103" s="126"/>
      <c r="G103" s="126"/>
      <c r="H103" s="126"/>
      <c r="I103" s="126"/>
    </row>
    <row r="104" spans="1:9" s="2" customFormat="1" ht="48.75" customHeight="1" hidden="1">
      <c r="A104" s="12" t="s">
        <v>982</v>
      </c>
      <c r="B104" s="33"/>
      <c r="C104" s="31"/>
      <c r="D104" s="126"/>
      <c r="E104" s="126"/>
      <c r="F104" s="126"/>
      <c r="G104" s="126"/>
      <c r="H104" s="126"/>
      <c r="I104" s="126"/>
    </row>
    <row r="105" spans="1:9" s="2" customFormat="1" ht="38.25" customHeight="1">
      <c r="A105" s="12" t="s">
        <v>983</v>
      </c>
      <c r="B105" s="33"/>
      <c r="C105" s="31"/>
      <c r="D105" s="126"/>
      <c r="E105" s="126"/>
      <c r="F105" s="126">
        <f>99000/1000</f>
        <v>99</v>
      </c>
      <c r="G105" s="126"/>
      <c r="H105" s="126"/>
      <c r="I105" s="126"/>
    </row>
    <row r="106" spans="1:9" s="2" customFormat="1" ht="27.75" customHeight="1" hidden="1">
      <c r="A106" s="12" t="s">
        <v>984</v>
      </c>
      <c r="B106" s="33"/>
      <c r="C106" s="31"/>
      <c r="D106" s="126"/>
      <c r="E106" s="126"/>
      <c r="F106" s="126"/>
      <c r="G106" s="126"/>
      <c r="H106" s="126"/>
      <c r="I106" s="126"/>
    </row>
    <row r="107" spans="1:9" s="2" customFormat="1" ht="28.5" customHeight="1" hidden="1">
      <c r="A107" s="12" t="s">
        <v>985</v>
      </c>
      <c r="B107" s="33"/>
      <c r="C107" s="31"/>
      <c r="D107" s="126"/>
      <c r="E107" s="126"/>
      <c r="F107" s="126"/>
      <c r="G107" s="126"/>
      <c r="H107" s="126"/>
      <c r="I107" s="126"/>
    </row>
    <row r="108" spans="1:9" s="2" customFormat="1" ht="24.75" customHeight="1" hidden="1">
      <c r="A108" s="12" t="s">
        <v>986</v>
      </c>
      <c r="B108" s="33"/>
      <c r="C108" s="31"/>
      <c r="D108" s="126"/>
      <c r="E108" s="126"/>
      <c r="F108" s="126"/>
      <c r="G108" s="126"/>
      <c r="H108" s="126"/>
      <c r="I108" s="126"/>
    </row>
    <row r="109" spans="1:9" s="2" customFormat="1" ht="25.5" customHeight="1" hidden="1">
      <c r="A109" s="12" t="s">
        <v>987</v>
      </c>
      <c r="B109" s="33"/>
      <c r="C109" s="31"/>
      <c r="D109" s="126"/>
      <c r="E109" s="126"/>
      <c r="F109" s="126"/>
      <c r="G109" s="126"/>
      <c r="H109" s="126"/>
      <c r="I109" s="126"/>
    </row>
    <row r="110" spans="1:9" s="2" customFormat="1" ht="26.25" customHeight="1" hidden="1">
      <c r="A110" s="12" t="s">
        <v>988</v>
      </c>
      <c r="B110" s="33"/>
      <c r="C110" s="31"/>
      <c r="D110" s="126"/>
      <c r="E110" s="126"/>
      <c r="F110" s="126"/>
      <c r="G110" s="126"/>
      <c r="H110" s="126"/>
      <c r="I110" s="126"/>
    </row>
    <row r="111" spans="1:9" s="2" customFormat="1" ht="26.25" customHeight="1" hidden="1">
      <c r="A111" s="12" t="s">
        <v>989</v>
      </c>
      <c r="B111" s="33"/>
      <c r="C111" s="31"/>
      <c r="D111" s="126"/>
      <c r="E111" s="126"/>
      <c r="F111" s="126"/>
      <c r="G111" s="126"/>
      <c r="H111" s="126"/>
      <c r="I111" s="126"/>
    </row>
    <row r="112" spans="1:9" s="2" customFormat="1" ht="25.5" customHeight="1" hidden="1">
      <c r="A112" s="12" t="s">
        <v>990</v>
      </c>
      <c r="B112" s="33"/>
      <c r="C112" s="31"/>
      <c r="D112" s="126"/>
      <c r="E112" s="126"/>
      <c r="F112" s="126"/>
      <c r="G112" s="126"/>
      <c r="H112" s="126"/>
      <c r="I112" s="126"/>
    </row>
    <row r="113" spans="1:9" s="2" customFormat="1" ht="38.25" customHeight="1" hidden="1">
      <c r="A113" s="12" t="s">
        <v>991</v>
      </c>
      <c r="B113" s="33"/>
      <c r="C113" s="31"/>
      <c r="D113" s="126"/>
      <c r="E113" s="126"/>
      <c r="F113" s="126"/>
      <c r="G113" s="126"/>
      <c r="H113" s="126"/>
      <c r="I113" s="126"/>
    </row>
    <row r="114" spans="1:9" s="2" customFormat="1" ht="27" customHeight="1">
      <c r="A114" s="12" t="s">
        <v>992</v>
      </c>
      <c r="B114" s="33"/>
      <c r="C114" s="31"/>
      <c r="D114" s="126"/>
      <c r="E114" s="126"/>
      <c r="F114" s="126">
        <f>1669100/1000</f>
        <v>1669.1</v>
      </c>
      <c r="G114" s="126"/>
      <c r="H114" s="126"/>
      <c r="I114" s="126"/>
    </row>
    <row r="115" spans="1:9" s="2" customFormat="1" ht="27" customHeight="1">
      <c r="A115" s="12" t="s">
        <v>1001</v>
      </c>
      <c r="B115" s="33"/>
      <c r="C115" s="31"/>
      <c r="D115" s="126"/>
      <c r="E115" s="126"/>
      <c r="F115" s="126">
        <v>16174.6</v>
      </c>
      <c r="G115" s="126">
        <v>17145.1</v>
      </c>
      <c r="H115" s="126">
        <v>18156.6</v>
      </c>
      <c r="I115" s="126">
        <v>19100.8</v>
      </c>
    </row>
    <row r="116" spans="1:9" s="2" customFormat="1" ht="14.25" customHeight="1">
      <c r="A116" s="12" t="s">
        <v>1002</v>
      </c>
      <c r="B116" s="33"/>
      <c r="C116" s="31"/>
      <c r="D116" s="126"/>
      <c r="E116" s="126"/>
      <c r="F116" s="126">
        <v>2686.8</v>
      </c>
      <c r="G116" s="126">
        <v>2848</v>
      </c>
      <c r="H116" s="126">
        <v>3016</v>
      </c>
      <c r="I116" s="126">
        <v>3172.9</v>
      </c>
    </row>
    <row r="117" spans="1:9" s="2" customFormat="1" ht="12.75">
      <c r="A117" s="28" t="s">
        <v>456</v>
      </c>
      <c r="B117" s="28"/>
      <c r="C117" s="126">
        <f aca="true" t="shared" si="3" ref="C117:I117">SUM(C4:C116)</f>
        <v>64940700</v>
      </c>
      <c r="D117" s="126">
        <f t="shared" si="3"/>
        <v>103339.11184</v>
      </c>
      <c r="E117" s="126">
        <f t="shared" si="3"/>
        <v>99975.77597</v>
      </c>
      <c r="F117" s="126">
        <f t="shared" si="3"/>
        <v>81980.883</v>
      </c>
      <c r="G117" s="126">
        <f t="shared" si="3"/>
        <v>57256</v>
      </c>
      <c r="H117" s="126">
        <f t="shared" si="3"/>
        <v>58823.4</v>
      </c>
      <c r="I117" s="126">
        <f t="shared" si="3"/>
        <v>59925.50000000001</v>
      </c>
    </row>
    <row r="118" spans="4:5" ht="12.75">
      <c r="D118" s="16"/>
      <c r="E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ht="12.75">
      <c r="F122" s="16"/>
    </row>
    <row r="124" spans="5:6" ht="12.75">
      <c r="E124" s="16"/>
      <c r="F124" s="16"/>
    </row>
  </sheetData>
  <sheetProtection/>
  <autoFilter ref="A3:G117">
    <sortState ref="A4:G124">
      <sortCondition sortBy="value" ref="D4:D124"/>
    </sortState>
  </autoFilter>
  <mergeCells count="7">
    <mergeCell ref="I2:I3"/>
    <mergeCell ref="H2:H3"/>
    <mergeCell ref="A1:H1"/>
    <mergeCell ref="D2:E2"/>
    <mergeCell ref="F2:F3"/>
    <mergeCell ref="G2:G3"/>
    <mergeCell ref="A2:A3"/>
  </mergeCells>
  <dataValidations count="1">
    <dataValidation type="decimal" operator="greaterThan" allowBlank="1" showInputMessage="1" showErrorMessage="1" promptTitle="Проверка корректности" prompt="Введите число" errorTitle="Введите число!" error="Введите число!" sqref="D9:E10">
      <formula1>-100000000000</formula1>
    </dataValidation>
  </dataValidations>
  <printOptions/>
  <pageMargins left="0.5905511811023623" right="0" top="0.5905511811023623" bottom="0.5905511811023623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oev</dc:creator>
  <cp:keywords/>
  <dc:description/>
  <cp:lastModifiedBy>Kontora</cp:lastModifiedBy>
  <cp:lastPrinted>2012-05-31T03:40:02Z</cp:lastPrinted>
  <dcterms:created xsi:type="dcterms:W3CDTF">2007-09-24T09:40:27Z</dcterms:created>
  <dcterms:modified xsi:type="dcterms:W3CDTF">2012-05-31T03:40:20Z</dcterms:modified>
  <cp:category/>
  <cp:version/>
  <cp:contentType/>
  <cp:contentStatus/>
</cp:coreProperties>
</file>