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0" windowWidth="6570" windowHeight="82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'Лист1'!$A$1:$I$411</definedName>
  </definedNames>
  <calcPr fullCalcOnLoad="1"/>
</workbook>
</file>

<file path=xl/sharedStrings.xml><?xml version="1.0" encoding="utf-8"?>
<sst xmlns="http://schemas.openxmlformats.org/spreadsheetml/2006/main" count="695" uniqueCount="277">
  <si>
    <t>Показатели</t>
  </si>
  <si>
    <t>Единица измерения</t>
  </si>
  <si>
    <t>- в действующих ценах</t>
  </si>
  <si>
    <t xml:space="preserve">млн. рублей </t>
  </si>
  <si>
    <t>- индекс промышленного производства</t>
  </si>
  <si>
    <t>в % к пред. году</t>
  </si>
  <si>
    <t>%</t>
  </si>
  <si>
    <t>млн. рублей</t>
  </si>
  <si>
    <t>тыс. тонн</t>
  </si>
  <si>
    <t>тыс.тонн</t>
  </si>
  <si>
    <t>тыс. куб. м.</t>
  </si>
  <si>
    <t>млн. условных кирпичей</t>
  </si>
  <si>
    <t>тыс. шт.</t>
  </si>
  <si>
    <t>В том числе:</t>
  </si>
  <si>
    <t>- в сопоставимых ценах</t>
  </si>
  <si>
    <t>в том числе:</t>
  </si>
  <si>
    <t>Из общего объема продукции сельского хозяйства:</t>
  </si>
  <si>
    <t>Зерно (в весе после доработки) - всего</t>
  </si>
  <si>
    <t>- сельскохозяйственные организации</t>
  </si>
  <si>
    <t>- крестьянские (фермерские) хозяйства</t>
  </si>
  <si>
    <t>Картофель - всего</t>
  </si>
  <si>
    <t>- хозяйства населения</t>
  </si>
  <si>
    <t>Овощи - всего</t>
  </si>
  <si>
    <t>Молоко - всего</t>
  </si>
  <si>
    <t>Яйцо - всего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</si>
  <si>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</si>
  <si>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</si>
  <si>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</si>
  <si>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</si>
  <si>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</si>
  <si>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</si>
  <si>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</si>
  <si>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</si>
  <si>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</si>
  <si>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млн. шт.</t>
  </si>
  <si>
    <t>тыс. га</t>
  </si>
  <si>
    <t>тыс. голов</t>
  </si>
  <si>
    <t>км</t>
  </si>
  <si>
    <t>единиц</t>
  </si>
  <si>
    <t>тыс . чел .</t>
  </si>
  <si>
    <t>Объем инвестиций в основной капитал за счет всех источников финансирования:</t>
  </si>
  <si>
    <t>в том числе</t>
  </si>
  <si>
    <t>прибыль</t>
  </si>
  <si>
    <t>амортизация</t>
  </si>
  <si>
    <t>Финансы</t>
  </si>
  <si>
    <t>Сальдированный финансовый результат (прибыль минус убыток)</t>
  </si>
  <si>
    <t>млн . руб .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</si>
  <si>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</si>
  <si>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</si>
  <si>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</si>
  <si>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</si>
  <si>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</si>
  <si>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</si>
  <si>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</si>
  <si>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</si>
  <si>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</si>
  <si>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</si>
  <si>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мест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</si>
  <si>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</si>
  <si>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</si>
  <si>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</si>
  <si>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>Cобственные средства предприятий</t>
  </si>
  <si>
    <t xml:space="preserve">Привлеченные средства </t>
  </si>
  <si>
    <t>Потребительский рынок</t>
  </si>
  <si>
    <t>Оборот розничной торговли</t>
  </si>
  <si>
    <t>Удельный вес продовольственных товаров</t>
  </si>
  <si>
    <t>Объем платных услуг населению</t>
  </si>
  <si>
    <t>Бытовые услуги</t>
  </si>
  <si>
    <t xml:space="preserve">Транспортные услуги 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</si>
  <si>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</si>
  <si>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</si>
  <si>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</si>
  <si>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</si>
  <si>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</si>
  <si>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</si>
  <si>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</si>
  <si>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</si>
  <si>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</si>
  <si>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правого характера</t>
  </si>
  <si>
    <t>Услуги в системе образования</t>
  </si>
  <si>
    <t xml:space="preserve">Прочие виды услуг </t>
  </si>
  <si>
    <t>Оборот общественного питания</t>
  </si>
  <si>
    <t xml:space="preserve">   - в действующих ценах</t>
  </si>
  <si>
    <t xml:space="preserve">   - в сопоставимых ценах</t>
  </si>
  <si>
    <t>Удельный вес непродовольственных товаров</t>
  </si>
  <si>
    <t xml:space="preserve">Строительство и реконструкция автомобильных дорог общего пользования </t>
  </si>
  <si>
    <t>Из раздела D:</t>
  </si>
  <si>
    <t>Прочие производства</t>
  </si>
  <si>
    <t>Производство прочих материалов и веществ</t>
  </si>
  <si>
    <t>Из раздела Е:</t>
  </si>
  <si>
    <t>млн. долл. США</t>
  </si>
  <si>
    <t>Из раздела А:</t>
  </si>
  <si>
    <r>
      <t xml:space="preserve">DA </t>
    </r>
    <r>
      <rPr>
        <b/>
        <i/>
        <sz val="12"/>
        <color indexed="8"/>
        <rFont val="Times New Roman Cyr"/>
        <family val="1"/>
      </rPr>
      <t xml:space="preserve">  Производство пищевых продуктов</t>
    </r>
  </si>
  <si>
    <r>
      <t xml:space="preserve">DB  </t>
    </r>
    <r>
      <rPr>
        <b/>
        <i/>
        <sz val="12"/>
        <color indexed="8"/>
        <rFont val="Times New Roman Cyr"/>
        <family val="1"/>
      </rPr>
      <t xml:space="preserve"> Текстильное и швейное производство</t>
    </r>
  </si>
  <si>
    <r>
      <t>DC</t>
    </r>
    <r>
      <rPr>
        <b/>
        <i/>
        <sz val="12"/>
        <color indexed="8"/>
        <rFont val="Times New Roman Cyr"/>
        <family val="1"/>
      </rPr>
      <t xml:space="preserve">   Производство кожи, производство обуви</t>
    </r>
  </si>
  <si>
    <r>
      <t>DD</t>
    </r>
    <r>
      <rPr>
        <b/>
        <i/>
        <sz val="12"/>
        <color indexed="8"/>
        <rFont val="Times New Roman Cyr"/>
        <family val="1"/>
      </rPr>
      <t xml:space="preserve">   Обработка древесины и производство изделий из дерева</t>
    </r>
  </si>
  <si>
    <r>
      <t xml:space="preserve">DE </t>
    </r>
    <r>
      <rPr>
        <b/>
        <i/>
        <sz val="12"/>
        <color indexed="8"/>
        <rFont val="Times New Roman Cyr"/>
        <family val="1"/>
      </rPr>
      <t xml:space="preserve">  Целлюлозно-бумажное производство; полиграфическая деятельность</t>
    </r>
  </si>
  <si>
    <r>
      <t>DG</t>
    </r>
    <r>
      <rPr>
        <b/>
        <i/>
        <sz val="12"/>
        <color indexed="8"/>
        <rFont val="Times New Roman Cyr"/>
        <family val="1"/>
      </rPr>
      <t xml:space="preserve">   Химическое производство</t>
    </r>
  </si>
  <si>
    <r>
      <t>DH</t>
    </r>
    <r>
      <rPr>
        <b/>
        <i/>
        <sz val="12"/>
        <color indexed="8"/>
        <rFont val="Times New Roman Cyr"/>
        <family val="1"/>
      </rPr>
      <t xml:space="preserve">   Производство резиновых и пластмассовых изделий</t>
    </r>
  </si>
  <si>
    <r>
      <t>DI</t>
    </r>
    <r>
      <rPr>
        <b/>
        <i/>
        <sz val="12"/>
        <color indexed="8"/>
        <rFont val="Times New Roman Cyr"/>
        <family val="1"/>
      </rPr>
      <t xml:space="preserve">   Производство прочих неметаллических минеральных продуктов</t>
    </r>
  </si>
  <si>
    <r>
      <t>DJ</t>
    </r>
    <r>
      <rPr>
        <b/>
        <i/>
        <sz val="12"/>
        <color indexed="8"/>
        <rFont val="Times New Roman Cyr"/>
        <family val="1"/>
      </rPr>
      <t xml:space="preserve">   Производство готовых металлических изделий</t>
    </r>
  </si>
  <si>
    <r>
      <t>DK</t>
    </r>
    <r>
      <rPr>
        <b/>
        <vertAlign val="superscript"/>
        <sz val="12"/>
        <color indexed="8"/>
        <rFont val="Times New Roman Cyr"/>
        <family val="1"/>
      </rPr>
      <t>1)</t>
    </r>
    <r>
      <rPr>
        <b/>
        <i/>
        <sz val="12"/>
        <color indexed="8"/>
        <rFont val="Times New Roman Cyr"/>
        <family val="1"/>
      </rPr>
      <t xml:space="preserve"> Производство машин и оборудования (без производства оружия и боеприпасов)</t>
    </r>
  </si>
  <si>
    <r>
      <t>DL</t>
    </r>
    <r>
      <rPr>
        <b/>
        <i/>
        <sz val="12"/>
        <color indexed="8"/>
        <rFont val="Times New Roman Cyr"/>
        <family val="1"/>
      </rPr>
      <t xml:space="preserve">   Поизводство электро-, электронного и оптического оборудования </t>
    </r>
  </si>
  <si>
    <r>
      <t>DM</t>
    </r>
    <r>
      <rPr>
        <b/>
        <i/>
        <sz val="12"/>
        <color indexed="8"/>
        <rFont val="Times New Roman Cyr"/>
        <family val="1"/>
      </rPr>
      <t xml:space="preserve">   Производство транспортных средств  и оборудования </t>
    </r>
  </si>
  <si>
    <t>Продукция сельскохозяйственных организаций:</t>
  </si>
  <si>
    <t>Продукция крестьянских (фермерских) хозяйств:</t>
  </si>
  <si>
    <t xml:space="preserve">Продукция в хозяйствах населения: </t>
  </si>
  <si>
    <t>Производство основных видов сельскохозяйственной продукции: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</si>
  <si>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</si>
  <si>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</si>
  <si>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</si>
  <si>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кв.м зеркала воды на 10 тыс.чел.</t>
  </si>
  <si>
    <t>Среднемесячная заработная плата одного работника в целом по муниципальному району (городскому округу)</t>
  </si>
  <si>
    <t>Производство промышленной продукции</t>
  </si>
  <si>
    <t>Инвестиционная и строительная деятельность</t>
  </si>
  <si>
    <t>Рынок труда и заработной платы</t>
  </si>
  <si>
    <t>Развитие малого предпринимательства</t>
  </si>
  <si>
    <t>Социальная сфера</t>
  </si>
  <si>
    <t>Муниципальное имущество</t>
  </si>
  <si>
    <t>Территория</t>
  </si>
  <si>
    <t>Демография</t>
  </si>
  <si>
    <t>Окружающая среда</t>
  </si>
  <si>
    <t>тыс.руб.</t>
  </si>
  <si>
    <t>Территория, всего</t>
  </si>
  <si>
    <t>предоставленная  физическим лицам:</t>
  </si>
  <si>
    <t>во владение, пользование</t>
  </si>
  <si>
    <t>в аренду</t>
  </si>
  <si>
    <t>предоставленная юридическим лицам:</t>
  </si>
  <si>
    <t>в пользование</t>
  </si>
  <si>
    <t>жилых зданий</t>
  </si>
  <si>
    <t>объектов социально - культурного назначения</t>
  </si>
  <si>
    <t>Территориальные резервы для развития, всего</t>
  </si>
  <si>
    <t xml:space="preserve">в том числе: </t>
  </si>
  <si>
    <t>незастроенные сельскохозяйственные земли</t>
  </si>
  <si>
    <t>тыс. кв.м.</t>
  </si>
  <si>
    <t>Площадь, занимаемая объектами предназначенными для сноса, перепланировки и переноса на другую территорию</t>
  </si>
  <si>
    <t>Расходы бюджета на органы местного самоуправления</t>
  </si>
  <si>
    <t>Наличие основных фондов, находящихся в муниципальной собственности (по остаточной балансовой стоимости)</t>
  </si>
  <si>
    <t xml:space="preserve">территория, находящаяся в ведении </t>
  </si>
  <si>
    <t>территория, находящаяся в собственности:</t>
  </si>
  <si>
    <t>Площадь, предназначенная для строительства, всего</t>
  </si>
  <si>
    <t>Прибыль прибыльных организаций</t>
  </si>
  <si>
    <t>млн .рублей</t>
  </si>
  <si>
    <t xml:space="preserve"> Сельское хозяйство, охота и предоставление услуг в этих областях</t>
  </si>
  <si>
    <t xml:space="preserve"> Растениеводство</t>
  </si>
  <si>
    <t xml:space="preserve"> Животноводство</t>
  </si>
  <si>
    <t>Лесное хозяйство и предоставление услуг в этой области</t>
  </si>
  <si>
    <r>
      <t xml:space="preserve">Из общего объема инвестиций  </t>
    </r>
    <r>
      <rPr>
        <sz val="12"/>
        <rFont val="Times New Roman"/>
        <family val="1"/>
      </rPr>
      <t>(по крупным и средним предприятиям)</t>
    </r>
    <r>
      <rPr>
        <b/>
        <sz val="12"/>
        <rFont val="Times New Roman"/>
        <family val="1"/>
      </rPr>
      <t>:</t>
    </r>
  </si>
  <si>
    <t>Выбросы загрязняющих веществ в атмосферный воздух</t>
  </si>
  <si>
    <t>твердые вещества</t>
  </si>
  <si>
    <t xml:space="preserve">газообразные и жидкие </t>
  </si>
  <si>
    <t>В расчете на одного жителя</t>
  </si>
  <si>
    <t>Текущие затраты на охрану окружающей среды</t>
  </si>
  <si>
    <t>ед.</t>
  </si>
  <si>
    <t>тонн</t>
  </si>
  <si>
    <t>Производство, передача и распределение электроэнергии, газа и пара</t>
  </si>
  <si>
    <t>Сбор, очистка и распределение  воды</t>
  </si>
  <si>
    <t>Производство нефтепродуктов</t>
  </si>
  <si>
    <t xml:space="preserve"> А   Сельское хозяйство, охота и лесное хозяйство</t>
  </si>
  <si>
    <t>В Рыболовство, рыбоводство</t>
  </si>
  <si>
    <t>С   Добыча полезных ископаемых</t>
  </si>
  <si>
    <t xml:space="preserve"> Д   Обрабатывающие  производства</t>
  </si>
  <si>
    <t>Е   Производство и распределение электроэнергии, газа и воды</t>
  </si>
  <si>
    <t xml:space="preserve"> F   Строительство</t>
  </si>
  <si>
    <t xml:space="preserve"> G   Оптовая и розничная торговля</t>
  </si>
  <si>
    <t xml:space="preserve"> I   Транспорт и связь</t>
  </si>
  <si>
    <t xml:space="preserve"> К  Операции с недвижимым имуществом, аренда и предоставление услуг</t>
  </si>
  <si>
    <t xml:space="preserve"> М  Образование</t>
  </si>
  <si>
    <t xml:space="preserve"> N Здравоохранение и предоставление социальных услуг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</si>
  <si>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</si>
  <si>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</si>
  <si>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</si>
  <si>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</si>
  <si>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</si>
  <si>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</si>
  <si>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</si>
  <si>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</si>
  <si>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</si>
  <si>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Среднесписочная численность работников предприятий/организаций - всего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</si>
  <si>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</si>
  <si>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</si>
  <si>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</si>
  <si>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тыс.кв. м</t>
  </si>
  <si>
    <t xml:space="preserve">   общая площадь ветхого аварийного жилищного фонда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</si>
  <si>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</si>
  <si>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</si>
  <si>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</si>
  <si>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</si>
  <si>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Число семей, получивших жилые помещения и улучшивших жилищные условия в течении года</t>
  </si>
  <si>
    <t>Количество квадратных метров площади, полученной семьями, улучшевшими жилищные условия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</si>
  <si>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</si>
  <si>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</si>
  <si>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койками сестринского ухода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</si>
  <si>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</si>
  <si>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</si>
  <si>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</si>
  <si>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домами-интернатами для престарелых и инвалидов и детей-инвалидов</t>
  </si>
  <si>
    <t>общедоступными  библиотеками</t>
  </si>
  <si>
    <t>учреждениями культурно-досугового типа</t>
  </si>
  <si>
    <t>спортивными залами</t>
  </si>
  <si>
    <t>плавательными бассейнами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</si>
  <si>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</si>
  <si>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</si>
  <si>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</si>
  <si>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</si>
  <si>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</si>
  <si>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</si>
  <si>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</si>
  <si>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Среднесписочная численность работников малых предприятий (без внешних совместителей)</t>
  </si>
  <si>
    <t>тыс.кв. м на человека</t>
  </si>
  <si>
    <t>Количество предприятий, имеющих выбросы загрязняющих веществ в атмосферу</t>
  </si>
  <si>
    <t>Скот и птица (в живом весе) - всего</t>
  </si>
  <si>
    <t>Объем выполненных работ и услуг собственными силами крупных и средних предприятий и организаций по виду деятельности "строительство"</t>
  </si>
  <si>
    <t>Объем отгруженных товаров собственного производства, выполненных работ и услуг собственными силами (итого по разделам C,D,E)</t>
  </si>
  <si>
    <t>индекс промышленного производства</t>
  </si>
  <si>
    <t>в том числе по видам экономической деятельности</t>
  </si>
  <si>
    <t xml:space="preserve">С "Добыча полезных ископаемых" </t>
  </si>
  <si>
    <t>- индекс  производства</t>
  </si>
  <si>
    <t>- удельный вес в  объеме отгруженных товаров (C,D,E)</t>
  </si>
  <si>
    <t>- удельный вес в объеме отгруженных товаров раздела D</t>
  </si>
  <si>
    <t>- удельный вес в объеме отгруженных товаров раздела E</t>
  </si>
  <si>
    <t xml:space="preserve">Транспорт </t>
  </si>
  <si>
    <t>Численность работников органов местного самоуправления</t>
  </si>
  <si>
    <t>в том числе: муниципальных служащих</t>
  </si>
  <si>
    <t>D "Обрабатывающие производства"</t>
  </si>
  <si>
    <t>Е "Производство и распределение электроэнергии, газа и воды"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</si>
  <si>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</si>
  <si>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</si>
  <si>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</si>
  <si>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 xml:space="preserve">    ведомственные</t>
  </si>
  <si>
    <t>Из общей протяженности автомобильных дорог - дороги с твердым покрытием -всего</t>
  </si>
  <si>
    <t>Производство важнейших видов продукции в натуральном выражении</t>
  </si>
  <si>
    <t>Добыча нефти (включая газовый конденсат)</t>
  </si>
  <si>
    <t>Добыча газа горючего природного (естественного)</t>
  </si>
  <si>
    <t>млн.куб.м</t>
  </si>
  <si>
    <t xml:space="preserve">Производство бензина автомобильного </t>
  </si>
  <si>
    <t>Производство топлива дизельного</t>
  </si>
  <si>
    <t>Производство полиэтилена</t>
  </si>
  <si>
    <t xml:space="preserve">Производство древесины деловой </t>
  </si>
  <si>
    <t>Производство пиломатериала</t>
  </si>
  <si>
    <t>Производство строительного кирпича</t>
  </si>
  <si>
    <t>Производство трикотажных изделий</t>
  </si>
  <si>
    <t>Производство обуви</t>
  </si>
  <si>
    <t>тыс.пар</t>
  </si>
  <si>
    <t>Производство водки и ликеро-водочных изделий</t>
  </si>
  <si>
    <t>тыс.дкл</t>
  </si>
  <si>
    <t>Производство пива</t>
  </si>
  <si>
    <t>Оборот малых предприятий</t>
  </si>
  <si>
    <t>Органы местного самоуправления</t>
  </si>
  <si>
    <t>воспитанников на 100 мест</t>
  </si>
  <si>
    <t>чел. на 100 жителей</t>
  </si>
  <si>
    <t>Естественный прирост (убыль) на 1000 человек</t>
  </si>
  <si>
    <t>чел.</t>
  </si>
  <si>
    <t>Жилищно - коммунальное хозяйство</t>
  </si>
  <si>
    <t>Выпуск учащихся из государственных дневных полных средних общеобразовательных учреждений</t>
  </si>
  <si>
    <t>238</t>
  </si>
  <si>
    <t>Количество малых предприятий - всего (на конец года)</t>
  </si>
  <si>
    <t>144</t>
  </si>
  <si>
    <t>Иностранные инвестиции</t>
  </si>
  <si>
    <t>плоскостными сооружениями</t>
  </si>
  <si>
    <t>Доля стоимости жилищно-коммунальных услуг, оплачиваемая населением</t>
  </si>
  <si>
    <t>2008 год</t>
  </si>
  <si>
    <t>2009 год</t>
  </si>
  <si>
    <t>2010 год</t>
  </si>
  <si>
    <t>Плановый период</t>
  </si>
  <si>
    <t>факт</t>
  </si>
  <si>
    <t>оценка</t>
  </si>
  <si>
    <t>2011 год</t>
  </si>
  <si>
    <t>2012 год</t>
  </si>
  <si>
    <t>2013 год</t>
  </si>
  <si>
    <t>-в крестьянских (фермерских) хозяйствах (включая наемных работников)</t>
  </si>
  <si>
    <t>-на частных предприятиях</t>
  </si>
  <si>
    <t>-индивидуальным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</si>
  <si>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 xml:space="preserve">Показатели прогноза социально-экономического развития                                                                      Колпашевского района Томской области </t>
  </si>
  <si>
    <t>на 2012-2014 гг.</t>
  </si>
  <si>
    <r>
      <t xml:space="preserve">Инвестиции в основной капитал по источникам финансирования                                                                                                                         </t>
    </r>
    <r>
      <rPr>
        <sz val="12"/>
        <rFont val="Times New Roman CYR"/>
        <family val="1"/>
      </rPr>
      <t>(по крупным и средним предприятиям)</t>
    </r>
    <r>
      <rPr>
        <b/>
        <sz val="12"/>
        <rFont val="Times New Roman CYR"/>
        <family val="1"/>
      </rPr>
      <t>:</t>
    </r>
  </si>
  <si>
    <t>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</si>
</sst>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3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i/>
      <sz val="18"/>
      <name val="Times New Roman Cyr"/>
      <family val="1"/>
    </font>
    <font>
      <b/>
      <i/>
      <sz val="12"/>
      <name val="Times New Roman Cyr"/>
      <family val="1"/>
    </font>
    <font>
      <b/>
      <sz val="12"/>
      <name val="Arial Cyr"/>
      <family val="0"/>
    </font>
    <font>
      <b/>
      <sz val="10"/>
      <color indexed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5"/>
      <name val="Times New Roman Cyr"/>
      <family val="1"/>
    </font>
    <font>
      <b/>
      <i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color indexed="8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12"/>
      <name val="Arial Cyr"/>
      <family val="0"/>
    </font>
    <font>
      <sz val="8.25"/>
      <name val="Times New Roman"/>
      <family val="1"/>
    </font>
    <font>
      <sz val="11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9" fontId="12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left" vertical="center" indent="6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4" borderId="0" xfId="0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12" fillId="0" borderId="2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2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2" xfId="0" applyFont="1" applyFill="1" applyBorder="1" applyAlignment="1">
      <alignment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166" fontId="2" fillId="0" borderId="1" xfId="0" applyNumberFormat="1" applyFont="1" applyFill="1" applyBorder="1" applyAlignment="1" applyProtection="1">
      <alignment horizontal="right"/>
      <protection/>
    </xf>
    <xf numFmtId="166" fontId="12" fillId="0" borderId="1" xfId="0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Font="1" applyFill="1" applyBorder="1" applyAlignment="1">
      <alignment/>
    </xf>
    <xf numFmtId="164" fontId="12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 applyProtection="1">
      <alignment horizontal="left" vertical="center" wrapText="1" indent="4"/>
      <protection/>
    </xf>
    <xf numFmtId="49" fontId="1" fillId="0" borderId="2" xfId="0" applyNumberFormat="1" applyFont="1" applyFill="1" applyBorder="1" applyAlignment="1" applyProtection="1">
      <alignment vertical="center" wrapText="1"/>
      <protection/>
    </xf>
    <xf numFmtId="49" fontId="2" fillId="0" borderId="3" xfId="0" applyNumberFormat="1" applyFont="1" applyFill="1" applyBorder="1" applyAlignment="1" applyProtection="1">
      <alignment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49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49" fontId="2" fillId="0" borderId="2" xfId="0" applyNumberFormat="1" applyFont="1" applyFill="1" applyBorder="1" applyAlignment="1" applyProtection="1">
      <alignment horizontal="left" vertical="center" indent="2"/>
      <protection/>
    </xf>
    <xf numFmtId="49" fontId="2" fillId="0" borderId="6" xfId="0" applyNumberFormat="1" applyFont="1" applyFill="1" applyBorder="1" applyAlignment="1" applyProtection="1">
      <alignment horizontal="left" vertical="center" indent="2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 indent="2"/>
    </xf>
    <xf numFmtId="0" fontId="12" fillId="0" borderId="2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center" wrapText="1" indent="1"/>
      <protection/>
    </xf>
    <xf numFmtId="49" fontId="4" fillId="0" borderId="1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1" xfId="0" applyNumberFormat="1" applyFont="1" applyFill="1" applyBorder="1" applyAlignment="1" applyProtection="1">
      <alignment horizontal="left" vertical="center" wrapText="1" indent="8"/>
      <protection/>
    </xf>
    <xf numFmtId="49" fontId="2" fillId="0" borderId="1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6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1" xfId="0" applyNumberFormat="1" applyFont="1" applyFill="1" applyBorder="1" applyAlignment="1" applyProtection="1">
      <alignment horizontal="left" vertical="center" wrapText="1" indent="6"/>
      <protection/>
    </xf>
    <xf numFmtId="164" fontId="12" fillId="0" borderId="1" xfId="0" applyNumberFormat="1" applyFont="1" applyFill="1" applyBorder="1" applyAlignment="1" applyProtection="1">
      <alignment horizontal="right"/>
      <protection/>
    </xf>
    <xf numFmtId="164" fontId="12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right" vertical="top"/>
      <protection/>
    </xf>
    <xf numFmtId="167" fontId="12" fillId="0" borderId="1" xfId="0" applyNumberFormat="1" applyFont="1" applyFill="1" applyBorder="1" applyAlignment="1" applyProtection="1">
      <alignment horizontal="right" vertical="top"/>
      <protection/>
    </xf>
    <xf numFmtId="167" fontId="12" fillId="0" borderId="1" xfId="0" applyNumberFormat="1" applyFont="1" applyFill="1" applyBorder="1" applyAlignment="1" applyProtection="1">
      <alignment horizontal="right"/>
      <protection/>
    </xf>
    <xf numFmtId="166" fontId="11" fillId="0" borderId="1" xfId="0" applyNumberFormat="1" applyFont="1" applyFill="1" applyBorder="1" applyAlignment="1" applyProtection="1">
      <alignment horizontal="right"/>
      <protection/>
    </xf>
    <xf numFmtId="166" fontId="1" fillId="0" borderId="1" xfId="0" applyNumberFormat="1" applyFont="1" applyFill="1" applyBorder="1" applyAlignment="1" applyProtection="1">
      <alignment vertical="top"/>
      <protection/>
    </xf>
    <xf numFmtId="166" fontId="12" fillId="0" borderId="4" xfId="0" applyNumberFormat="1" applyFont="1" applyFill="1" applyBorder="1" applyAlignment="1" applyProtection="1">
      <alignment horizontal="righ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5" fillId="0" borderId="8" xfId="0" applyFont="1" applyBorder="1" applyAlignment="1">
      <alignment horizontal="center" vertical="center"/>
    </xf>
    <xf numFmtId="0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25" fillId="0" borderId="8" xfId="0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 applyProtection="1">
      <alignment horizontal="right" vertical="top"/>
      <protection/>
    </xf>
    <xf numFmtId="0" fontId="11" fillId="0" borderId="1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2" xfId="0" applyNumberFormat="1" applyFont="1" applyFill="1" applyBorder="1" applyAlignment="1" applyProtection="1">
      <alignment vertical="top" wrapText="1"/>
      <protection/>
    </xf>
    <xf numFmtId="49" fontId="12" fillId="0" borderId="2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Alignment="1">
      <alignment/>
    </xf>
    <xf numFmtId="166" fontId="1" fillId="0" borderId="1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167" fontId="2" fillId="0" borderId="1" xfId="0" applyNumberFormat="1" applyFont="1" applyFill="1" applyBorder="1" applyAlignment="1" applyProtection="1">
      <alignment horizontal="right"/>
      <protection/>
    </xf>
    <xf numFmtId="167" fontId="2" fillId="0" borderId="1" xfId="0" applyNumberFormat="1" applyFont="1" applyFill="1" applyBorder="1" applyAlignment="1" applyProtection="1">
      <alignment/>
      <protection/>
    </xf>
    <xf numFmtId="166" fontId="12" fillId="0" borderId="1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>
      <alignment/>
    </xf>
    <xf numFmtId="165" fontId="12" fillId="0" borderId="1" xfId="0" applyNumberFormat="1" applyFont="1" applyFill="1" applyBorder="1" applyAlignment="1" applyProtection="1">
      <alignment horizontal="right"/>
      <protection/>
    </xf>
    <xf numFmtId="165" fontId="12" fillId="0" borderId="1" xfId="0" applyNumberFormat="1" applyFont="1" applyFill="1" applyBorder="1" applyAlignment="1" applyProtection="1">
      <alignment/>
      <protection/>
    </xf>
    <xf numFmtId="165" fontId="12" fillId="0" borderId="1" xfId="0" applyNumberFormat="1" applyFont="1" applyFill="1" applyBorder="1" applyAlignment="1">
      <alignment/>
    </xf>
    <xf numFmtId="0" fontId="12" fillId="0" borderId="1" xfId="0" applyNumberFormat="1" applyFont="1" applyFill="1" applyBorder="1" applyAlignment="1" applyProtection="1">
      <alignment/>
      <protection/>
    </xf>
    <xf numFmtId="166" fontId="12" fillId="0" borderId="1" xfId="0" applyNumberFormat="1" applyFont="1" applyFill="1" applyBorder="1" applyAlignment="1" applyProtection="1">
      <alignment/>
      <protection/>
    </xf>
    <xf numFmtId="1" fontId="1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wrapText="1"/>
      <protection/>
    </xf>
    <xf numFmtId="164" fontId="12" fillId="0" borderId="1" xfId="0" applyNumberFormat="1" applyFont="1" applyFill="1" applyBorder="1" applyAlignment="1" applyProtection="1">
      <alignment wrapText="1"/>
      <protection/>
    </xf>
    <xf numFmtId="2" fontId="2" fillId="0" borderId="1" xfId="0" applyNumberFormat="1" applyFont="1" applyFill="1" applyBorder="1" applyAlignment="1" applyProtection="1">
      <alignment/>
      <protection/>
    </xf>
    <xf numFmtId="3" fontId="14" fillId="0" borderId="1" xfId="0" applyNumberFormat="1" applyFont="1" applyFill="1" applyBorder="1" applyAlignment="1" applyProtection="1">
      <alignment/>
      <protection/>
    </xf>
    <xf numFmtId="3" fontId="26" fillId="0" borderId="1" xfId="0" applyNumberFormat="1" applyFont="1" applyFill="1" applyBorder="1" applyAlignment="1">
      <alignment/>
    </xf>
    <xf numFmtId="3" fontId="26" fillId="0" borderId="1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/>
      <protection/>
    </xf>
    <xf numFmtId="3" fontId="14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 applyProtection="1">
      <alignment/>
      <protection/>
    </xf>
    <xf numFmtId="164" fontId="13" fillId="0" borderId="1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right"/>
      <protection/>
    </xf>
    <xf numFmtId="49" fontId="3" fillId="0" borderId="1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4" fontId="26" fillId="0" borderId="4" xfId="0" applyNumberFormat="1" applyFont="1" applyFill="1" applyBorder="1" applyAlignment="1" applyProtection="1">
      <alignment/>
      <protection/>
    </xf>
    <xf numFmtId="164" fontId="28" fillId="0" borderId="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/>
      <protection/>
    </xf>
    <xf numFmtId="49" fontId="3" fillId="5" borderId="0" xfId="0" applyNumberFormat="1" applyFont="1" applyFill="1" applyBorder="1" applyAlignment="1" applyProtection="1">
      <alignment horizontal="center" vertical="center"/>
      <protection/>
    </xf>
    <xf numFmtId="49" fontId="3" fillId="5" borderId="10" xfId="0" applyNumberFormat="1" applyFont="1" applyFill="1" applyBorder="1" applyAlignment="1" applyProtection="1">
      <alignment horizontal="center" vertical="center"/>
      <protection/>
    </xf>
    <xf numFmtId="49" fontId="3" fillId="5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5" borderId="14" xfId="0" applyNumberFormat="1" applyFont="1" applyFill="1" applyBorder="1" applyAlignment="1" applyProtection="1">
      <alignment horizontal="center" vertical="center"/>
      <protection/>
    </xf>
    <xf numFmtId="49" fontId="3" fillId="5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4" fillId="0" borderId="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3" fillId="5" borderId="16" xfId="0" applyNumberFormat="1" applyFont="1" applyFill="1" applyBorder="1" applyAlignment="1" applyProtection="1">
      <alignment horizontal="center" vertical="center"/>
      <protection/>
    </xf>
    <xf numFmtId="49" fontId="3" fillId="5" borderId="17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/>
      <protection/>
    </xf>
    <xf numFmtId="167" fontId="12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1" xfId="0" applyNumberFormat="1" applyFont="1" applyFill="1" applyBorder="1" applyAlignment="1" applyProtection="1">
      <alignment/>
      <protection/>
    </xf>
    <xf numFmtId="3" fontId="29" fillId="0" borderId="1" xfId="0" applyNumberFormat="1" applyFont="1" applyFill="1" applyBorder="1" applyAlignment="1" applyProtection="1">
      <alignment/>
      <protection/>
    </xf>
    <xf numFmtId="3" fontId="14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tabSelected="1" zoomScale="75" zoomScaleNormal="75" zoomScaleSheetLayoutView="75" workbookViewId="0" topLeftCell="A1">
      <pane ySplit="5" topLeftCell="BM388" activePane="bottomLeft" state="frozen"/>
      <selection pane="topLeft" activeCell="A1" sqref="A1"/>
      <selection pane="bottomLeft" activeCell="P390" sqref="P390"/>
    </sheetView>
  </sheetViews>
  <sheetFormatPr defaultColWidth="9.00390625" defaultRowHeight="12.75"/>
  <cols>
    <col min="1" max="1" width="31.75390625" style="1" customWidth="1"/>
    <col min="2" max="2" width="10.125" style="96" customWidth="1"/>
    <col min="3" max="3" width="9.375" style="2" customWidth="1"/>
    <col min="4" max="4" width="9.625" style="2" customWidth="1"/>
    <col min="5" max="5" width="9.25390625" style="2" customWidth="1"/>
    <col min="6" max="7" width="9.375" style="2" customWidth="1"/>
    <col min="8" max="9" width="9.625" style="185" customWidth="1"/>
  </cols>
  <sheetData>
    <row r="1" ht="23.25">
      <c r="I1" s="19"/>
    </row>
    <row r="2" spans="1:9" ht="40.5" customHeight="1">
      <c r="A2" s="136" t="s">
        <v>273</v>
      </c>
      <c r="B2" s="136"/>
      <c r="C2" s="136"/>
      <c r="D2" s="136"/>
      <c r="E2" s="136"/>
      <c r="F2" s="136"/>
      <c r="G2" s="136"/>
      <c r="H2" s="136"/>
      <c r="I2" s="136"/>
    </row>
    <row r="3" spans="1:9" ht="28.5" customHeight="1" thickBot="1">
      <c r="A3" s="136" t="s">
        <v>274</v>
      </c>
      <c r="B3" s="136"/>
      <c r="C3" s="136"/>
      <c r="D3" s="136"/>
      <c r="E3" s="136"/>
      <c r="F3" s="136"/>
      <c r="G3" s="136"/>
      <c r="H3" s="136"/>
      <c r="I3" s="136"/>
    </row>
    <row r="4" spans="1:9" s="4" customFormat="1" ht="34.5" customHeight="1" thickBot="1">
      <c r="A4" s="152" t="s">
        <v>0</v>
      </c>
      <c r="B4" s="153" t="s">
        <v>1</v>
      </c>
      <c r="C4" s="90" t="s">
        <v>261</v>
      </c>
      <c r="D4" s="90" t="s">
        <v>262</v>
      </c>
      <c r="E4" s="90" t="s">
        <v>263</v>
      </c>
      <c r="F4" s="90" t="s">
        <v>267</v>
      </c>
      <c r="G4" s="168" t="s">
        <v>264</v>
      </c>
      <c r="H4" s="168"/>
      <c r="I4" s="168"/>
    </row>
    <row r="5" spans="1:9" s="4" customFormat="1" ht="33" customHeight="1" thickBot="1">
      <c r="A5" s="152"/>
      <c r="B5" s="153"/>
      <c r="C5" s="91" t="s">
        <v>265</v>
      </c>
      <c r="D5" s="91" t="s">
        <v>265</v>
      </c>
      <c r="E5" s="91" t="s">
        <v>265</v>
      </c>
      <c r="F5" s="91" t="s">
        <v>266</v>
      </c>
      <c r="G5" s="93" t="s">
        <v>268</v>
      </c>
      <c r="H5" s="92" t="s">
        <v>269</v>
      </c>
      <c r="I5" s="92" t="s">
        <v>276</v>
      </c>
    </row>
    <row r="6" spans="1:9" s="34" customFormat="1" ht="18.75">
      <c r="A6" s="150" t="s">
        <v>113</v>
      </c>
      <c r="B6" s="151"/>
      <c r="C6" s="151"/>
      <c r="D6" s="151"/>
      <c r="E6" s="151"/>
      <c r="F6" s="151"/>
      <c r="G6" s="151"/>
      <c r="H6" s="151"/>
      <c r="I6" s="151"/>
    </row>
    <row r="7" spans="1:9" s="15" customFormat="1" ht="82.5" customHeight="1">
      <c r="A7" s="22" t="s">
        <v>213</v>
      </c>
      <c r="B7" s="20" t="s">
        <v>3</v>
      </c>
      <c r="C7" s="80">
        <f>C15+C80</f>
        <v>654.46</v>
      </c>
      <c r="D7" s="80">
        <f aca="true" t="shared" si="0" ref="D7:I7">D15+D80</f>
        <v>618.3224</v>
      </c>
      <c r="E7" s="80">
        <f>E15+E80</f>
        <v>777.512</v>
      </c>
      <c r="F7" s="80">
        <f t="shared" si="0"/>
        <v>884.0999999999999</v>
      </c>
      <c r="G7" s="80">
        <f t="shared" si="0"/>
        <v>971.5065</v>
      </c>
      <c r="H7" s="80">
        <f t="shared" si="0"/>
        <v>1071.3606455</v>
      </c>
      <c r="I7" s="80">
        <f t="shared" si="0"/>
        <v>1147.2175973725</v>
      </c>
    </row>
    <row r="8" spans="1:9" s="15" customFormat="1" ht="31.5">
      <c r="A8" s="38" t="s">
        <v>214</v>
      </c>
      <c r="B8" s="20" t="s">
        <v>5</v>
      </c>
      <c r="C8" s="80">
        <v>125.2</v>
      </c>
      <c r="D8" s="80">
        <f>D7/1.009*100/C7</f>
        <v>93.6355370500868</v>
      </c>
      <c r="E8" s="81">
        <f>E7/1.144*100/D7</f>
        <v>109.91731120259539</v>
      </c>
      <c r="F8" s="81">
        <f>F7/1.18*100/E7</f>
        <v>96.36343723770092</v>
      </c>
      <c r="G8" s="81">
        <f>G7/1.017*100/F7</f>
        <v>108.04965067887315</v>
      </c>
      <c r="H8" s="81">
        <f>H7/1.058*100/G7</f>
        <v>104.23277758381214</v>
      </c>
      <c r="I8" s="81">
        <f>I7/1.058*100/H7</f>
        <v>101.2102372936017</v>
      </c>
    </row>
    <row r="9" spans="1:9" s="15" customFormat="1" ht="22.5" customHeight="1">
      <c r="A9" s="175" t="s">
        <v>215</v>
      </c>
      <c r="B9" s="176"/>
      <c r="C9" s="176"/>
      <c r="D9" s="176"/>
      <c r="E9" s="176"/>
      <c r="F9" s="176"/>
      <c r="G9" s="176"/>
      <c r="H9" s="176"/>
      <c r="I9" s="177"/>
    </row>
    <row r="10" spans="1:9" ht="17.25" customHeight="1">
      <c r="A10" s="172" t="s">
        <v>216</v>
      </c>
      <c r="B10" s="173"/>
      <c r="C10" s="173"/>
      <c r="D10" s="173"/>
      <c r="E10" s="173"/>
      <c r="F10" s="173"/>
      <c r="G10" s="173"/>
      <c r="H10" s="173"/>
      <c r="I10" s="174"/>
    </row>
    <row r="11" spans="1:9" ht="25.5">
      <c r="A11" s="8" t="s">
        <v>2</v>
      </c>
      <c r="B11" s="20" t="s">
        <v>3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</row>
    <row r="12" spans="1:9" ht="25.5">
      <c r="A12" s="8" t="s">
        <v>217</v>
      </c>
      <c r="B12" s="20" t="s">
        <v>5</v>
      </c>
      <c r="C12" s="80"/>
      <c r="D12" s="80"/>
      <c r="E12" s="80"/>
      <c r="F12" s="80"/>
      <c r="G12" s="80"/>
      <c r="H12" s="80"/>
      <c r="I12" s="80"/>
    </row>
    <row r="13" spans="1:9" s="9" customFormat="1" ht="31.5">
      <c r="A13" s="8" t="s">
        <v>218</v>
      </c>
      <c r="B13" s="20" t="s">
        <v>6</v>
      </c>
      <c r="C13" s="80"/>
      <c r="D13" s="80"/>
      <c r="E13" s="80"/>
      <c r="F13" s="80"/>
      <c r="G13" s="80"/>
      <c r="H13" s="80"/>
      <c r="I13" s="80"/>
    </row>
    <row r="14" spans="1:9" ht="16.5" customHeight="1">
      <c r="A14" s="172" t="s">
        <v>224</v>
      </c>
      <c r="B14" s="173"/>
      <c r="C14" s="173"/>
      <c r="D14" s="173"/>
      <c r="E14" s="173"/>
      <c r="F14" s="173"/>
      <c r="G14" s="173"/>
      <c r="H14" s="173"/>
      <c r="I14" s="174"/>
    </row>
    <row r="15" spans="1:9" ht="25.5">
      <c r="A15" s="8" t="s">
        <v>2</v>
      </c>
      <c r="B15" s="20" t="s">
        <v>3</v>
      </c>
      <c r="C15" s="80">
        <f>C20+C24+C28+C32+C36+C40+C44+C48+C52+C56+C60+C64+C68+C72+C76</f>
        <v>418.36</v>
      </c>
      <c r="D15" s="80">
        <f aca="true" t="shared" si="1" ref="D15:I15">D20+D24+D28+D32+D36+D40+D44+D48+D52+D56+D60+D64+D68+D72+D76</f>
        <v>346.2224</v>
      </c>
      <c r="E15" s="80">
        <f t="shared" si="1"/>
        <v>462.412</v>
      </c>
      <c r="F15" s="80">
        <f t="shared" si="1"/>
        <v>516.4</v>
      </c>
      <c r="G15" s="80">
        <f t="shared" si="1"/>
        <v>559.7065</v>
      </c>
      <c r="H15" s="80">
        <f t="shared" si="1"/>
        <v>610.1606455</v>
      </c>
      <c r="I15" s="80">
        <f t="shared" si="1"/>
        <v>635.3175973725</v>
      </c>
    </row>
    <row r="16" spans="1:9" ht="25.5">
      <c r="A16" s="8" t="s">
        <v>217</v>
      </c>
      <c r="B16" s="20" t="s">
        <v>5</v>
      </c>
      <c r="C16" s="80">
        <v>139.8</v>
      </c>
      <c r="D16" s="80">
        <f>D15/1.001*100/C15</f>
        <v>82.6743769663743</v>
      </c>
      <c r="E16" s="80">
        <f>E15/1.14*100/D15</f>
        <v>117.15722651206531</v>
      </c>
      <c r="F16" s="80">
        <f>F15/1.159*100/E15</f>
        <v>96.35487708718863</v>
      </c>
      <c r="G16" s="80">
        <f>G15/1.032*100/F15</f>
        <v>105.0254182203568</v>
      </c>
      <c r="H16" s="80">
        <f>H15/1.05*100/G15</f>
        <v>103.8232317592643</v>
      </c>
      <c r="I16" s="80">
        <f>I15/1.051*100/H15</f>
        <v>99.07041357193656</v>
      </c>
    </row>
    <row r="17" spans="1:9" s="9" customFormat="1" ht="31.5">
      <c r="A17" s="8" t="s">
        <v>218</v>
      </c>
      <c r="B17" s="20" t="s">
        <v>6</v>
      </c>
      <c r="C17" s="80">
        <f aca="true" t="shared" si="2" ref="C17:I17">C15/C7*100</f>
        <v>63.92445680408275</v>
      </c>
      <c r="D17" s="80">
        <f t="shared" si="2"/>
        <v>55.993831049950636</v>
      </c>
      <c r="E17" s="80">
        <f t="shared" si="2"/>
        <v>59.473294302853205</v>
      </c>
      <c r="F17" s="80">
        <f t="shared" si="2"/>
        <v>58.409682162651286</v>
      </c>
      <c r="G17" s="80">
        <f t="shared" si="2"/>
        <v>57.61222390174435</v>
      </c>
      <c r="H17" s="80">
        <f t="shared" si="2"/>
        <v>56.95193752569102</v>
      </c>
      <c r="I17" s="80">
        <f t="shared" si="2"/>
        <v>55.378996872745255</v>
      </c>
    </row>
    <row r="18" spans="1:9" s="24" customFormat="1" ht="15.75">
      <c r="A18" s="154" t="s">
        <v>86</v>
      </c>
      <c r="B18" s="155"/>
      <c r="C18" s="155"/>
      <c r="D18" s="155"/>
      <c r="E18" s="155"/>
      <c r="F18" s="155"/>
      <c r="G18" s="155"/>
      <c r="H18" s="155"/>
      <c r="I18" s="156"/>
    </row>
    <row r="19" spans="1:9" s="24" customFormat="1" ht="22.5" customHeight="1">
      <c r="A19" s="169" t="s">
        <v>92</v>
      </c>
      <c r="B19" s="170"/>
      <c r="C19" s="170"/>
      <c r="D19" s="170"/>
      <c r="E19" s="170"/>
      <c r="F19" s="170"/>
      <c r="G19" s="170"/>
      <c r="H19" s="170"/>
      <c r="I19" s="171"/>
    </row>
    <row r="20" spans="1:9" ht="25.5">
      <c r="A20" s="23" t="s">
        <v>2</v>
      </c>
      <c r="B20" s="20" t="s">
        <v>3</v>
      </c>
      <c r="C20" s="82">
        <v>148.1</v>
      </c>
      <c r="D20" s="82">
        <v>136.3</v>
      </c>
      <c r="E20" s="82">
        <v>119.6</v>
      </c>
      <c r="F20" s="80">
        <v>125.6</v>
      </c>
      <c r="G20" s="80">
        <v>132</v>
      </c>
      <c r="H20" s="80">
        <v>138.6</v>
      </c>
      <c r="I20" s="80">
        <v>145.5</v>
      </c>
    </row>
    <row r="21" spans="1:9" ht="25.5">
      <c r="A21" s="8" t="s">
        <v>217</v>
      </c>
      <c r="B21" s="20" t="s">
        <v>5</v>
      </c>
      <c r="C21" s="82">
        <v>372.9</v>
      </c>
      <c r="D21" s="80">
        <f>D20/1.084*100/C20</f>
        <v>84.9007477245603</v>
      </c>
      <c r="E21" s="80">
        <f>E20/1.045*100/D20</f>
        <v>83.9690100994499</v>
      </c>
      <c r="F21" s="80">
        <f>F20/1.159*100/E20</f>
        <v>90.60976911822843</v>
      </c>
      <c r="G21" s="80">
        <f>G20/1.057*100/F20</f>
        <v>99.4281375603348</v>
      </c>
      <c r="H21" s="80">
        <f>H20/1.052*100/G20</f>
        <v>99.80988593155894</v>
      </c>
      <c r="I21" s="80">
        <f>I20/1.042*100/H20</f>
        <v>100.74698174506236</v>
      </c>
    </row>
    <row r="22" spans="1:9" s="9" customFormat="1" ht="47.25">
      <c r="A22" s="23" t="s">
        <v>219</v>
      </c>
      <c r="B22" s="20" t="s">
        <v>6</v>
      </c>
      <c r="C22" s="80">
        <f>C20/C15*100</f>
        <v>35.40013385600918</v>
      </c>
      <c r="D22" s="80">
        <f aca="true" t="shared" si="3" ref="D22:I22">D20/D15*100</f>
        <v>39.36775898959744</v>
      </c>
      <c r="E22" s="80">
        <f t="shared" si="3"/>
        <v>25.86438068216223</v>
      </c>
      <c r="F22" s="80">
        <f t="shared" si="3"/>
        <v>24.322230828814874</v>
      </c>
      <c r="G22" s="80">
        <f t="shared" si="3"/>
        <v>23.583789003701046</v>
      </c>
      <c r="H22" s="80">
        <f t="shared" si="3"/>
        <v>22.7153293189572</v>
      </c>
      <c r="I22" s="80">
        <f t="shared" si="3"/>
        <v>22.901931349257165</v>
      </c>
    </row>
    <row r="23" spans="1:9" s="24" customFormat="1" ht="31.5" customHeight="1">
      <c r="A23" s="169" t="s">
        <v>93</v>
      </c>
      <c r="B23" s="170"/>
      <c r="C23" s="170"/>
      <c r="D23" s="170"/>
      <c r="E23" s="170"/>
      <c r="F23" s="170"/>
      <c r="G23" s="170"/>
      <c r="H23" s="170"/>
      <c r="I23" s="171"/>
    </row>
    <row r="24" spans="1:9" ht="25.5">
      <c r="A24" s="23" t="s">
        <v>2</v>
      </c>
      <c r="B24" s="20" t="s">
        <v>3</v>
      </c>
      <c r="C24" s="82">
        <v>0.5</v>
      </c>
      <c r="D24" s="82">
        <v>0.5</v>
      </c>
      <c r="E24" s="82">
        <v>0.6</v>
      </c>
      <c r="F24" s="82">
        <v>0.8</v>
      </c>
      <c r="G24" s="82">
        <v>0.8</v>
      </c>
      <c r="H24" s="82">
        <v>0.8</v>
      </c>
      <c r="I24" s="82">
        <v>0.8</v>
      </c>
    </row>
    <row r="25" spans="1:9" ht="25.5">
      <c r="A25" s="8" t="s">
        <v>217</v>
      </c>
      <c r="B25" s="20" t="s">
        <v>5</v>
      </c>
      <c r="C25" s="80">
        <v>109.9</v>
      </c>
      <c r="D25" s="80">
        <f>D24/1.125*100/C24</f>
        <v>88.88888888888889</v>
      </c>
      <c r="E25" s="80">
        <f>E24/1.048*100/D24</f>
        <v>114.50381679389312</v>
      </c>
      <c r="F25" s="80">
        <f>F24/1.129*100/E24</f>
        <v>118.098612341305</v>
      </c>
      <c r="G25" s="80">
        <f>G24/1.107*100/F24</f>
        <v>90.33423667570008</v>
      </c>
      <c r="H25" s="80">
        <f>H24/1.045*100/G24</f>
        <v>95.69377990430624</v>
      </c>
      <c r="I25" s="80">
        <f>I24/1.044*100/H24</f>
        <v>95.78544061302682</v>
      </c>
    </row>
    <row r="26" spans="1:9" s="9" customFormat="1" ht="47.25">
      <c r="A26" s="23" t="s">
        <v>219</v>
      </c>
      <c r="B26" s="20" t="s">
        <v>6</v>
      </c>
      <c r="C26" s="80">
        <f>C24/C15*100</f>
        <v>0.11951429390955157</v>
      </c>
      <c r="D26" s="80">
        <f aca="true" t="shared" si="4" ref="D26:I26">D24/D15*100</f>
        <v>0.1444158436889121</v>
      </c>
      <c r="E26" s="80">
        <f t="shared" si="4"/>
        <v>0.1297544181379376</v>
      </c>
      <c r="F26" s="80">
        <f t="shared" si="4"/>
        <v>0.1549186676994578</v>
      </c>
      <c r="G26" s="80">
        <f t="shared" si="4"/>
        <v>0.14293205456788516</v>
      </c>
      <c r="H26" s="80">
        <f t="shared" si="4"/>
        <v>0.1311130119420329</v>
      </c>
      <c r="I26" s="80">
        <f t="shared" si="4"/>
        <v>0.12592127202340708</v>
      </c>
    </row>
    <row r="27" spans="1:9" s="24" customFormat="1" ht="20.25" customHeight="1" hidden="1">
      <c r="A27" s="169" t="s">
        <v>94</v>
      </c>
      <c r="B27" s="170"/>
      <c r="C27" s="170"/>
      <c r="D27" s="170"/>
      <c r="E27" s="170"/>
      <c r="F27" s="170"/>
      <c r="G27" s="170"/>
      <c r="H27" s="170"/>
      <c r="I27" s="171"/>
    </row>
    <row r="28" spans="1:9" ht="25.5" hidden="1">
      <c r="A28" s="23" t="s">
        <v>2</v>
      </c>
      <c r="B28" s="20" t="s">
        <v>3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</row>
    <row r="29" spans="1:9" ht="25.5" hidden="1">
      <c r="A29" s="8" t="s">
        <v>217</v>
      </c>
      <c r="B29" s="20" t="s">
        <v>5</v>
      </c>
      <c r="C29" s="80"/>
      <c r="D29" s="80"/>
      <c r="E29" s="80"/>
      <c r="F29" s="80"/>
      <c r="G29" s="80"/>
      <c r="H29" s="80"/>
      <c r="I29" s="80"/>
    </row>
    <row r="30" spans="1:9" s="9" customFormat="1" ht="47.25" hidden="1">
      <c r="A30" s="23" t="s">
        <v>219</v>
      </c>
      <c r="B30" s="20" t="s">
        <v>6</v>
      </c>
      <c r="C30" s="80"/>
      <c r="D30" s="80"/>
      <c r="E30" s="80"/>
      <c r="F30" s="80"/>
      <c r="G30" s="80"/>
      <c r="H30" s="80"/>
      <c r="I30" s="80"/>
    </row>
    <row r="31" spans="1:9" s="24" customFormat="1" ht="18.75" customHeight="1">
      <c r="A31" s="169" t="s">
        <v>95</v>
      </c>
      <c r="B31" s="170"/>
      <c r="C31" s="170"/>
      <c r="D31" s="170"/>
      <c r="E31" s="170"/>
      <c r="F31" s="170"/>
      <c r="G31" s="170"/>
      <c r="H31" s="170"/>
      <c r="I31" s="171"/>
    </row>
    <row r="32" spans="1:9" ht="25.5">
      <c r="A32" s="8" t="s">
        <v>2</v>
      </c>
      <c r="B32" s="20" t="s">
        <v>3</v>
      </c>
      <c r="C32" s="80">
        <f>C101*3.4</f>
        <v>50.66</v>
      </c>
      <c r="D32" s="80">
        <f>D101*3.6</f>
        <v>36.122400000000006</v>
      </c>
      <c r="E32" s="80">
        <f>E101*4</f>
        <v>27.512</v>
      </c>
      <c r="F32" s="80">
        <f>F101*4.2</f>
        <v>31.5</v>
      </c>
      <c r="G32" s="80">
        <f>G101*4.2</f>
        <v>33.106500000000004</v>
      </c>
      <c r="H32" s="80">
        <f>H101*4.3</f>
        <v>35.860645500000004</v>
      </c>
      <c r="I32" s="80">
        <f>I101*4.5</f>
        <v>39.517597372500006</v>
      </c>
    </row>
    <row r="33" spans="1:9" ht="25.5">
      <c r="A33" s="8" t="s">
        <v>217</v>
      </c>
      <c r="B33" s="20" t="s">
        <v>5</v>
      </c>
      <c r="C33" s="80">
        <v>158.2</v>
      </c>
      <c r="D33" s="80">
        <f>D32/1.038*100/C32</f>
        <v>68.69324911172524</v>
      </c>
      <c r="E33" s="80">
        <f>E32/1.076*100/D32</f>
        <v>70.78370549631457</v>
      </c>
      <c r="F33" s="80">
        <f>F32/1.075*100/E32</f>
        <v>106.50743523333583</v>
      </c>
      <c r="G33" s="80">
        <f>G32/1.051*100/F32</f>
        <v>100.00000000000003</v>
      </c>
      <c r="H33" s="80">
        <f>H32/1.058*100/G32</f>
        <v>102.38095238095238</v>
      </c>
      <c r="I33" s="80">
        <f>I32/1.053*100/H32</f>
        <v>104.65116279069768</v>
      </c>
    </row>
    <row r="34" spans="1:9" s="9" customFormat="1" ht="47.25">
      <c r="A34" s="23" t="s">
        <v>219</v>
      </c>
      <c r="B34" s="20" t="s">
        <v>6</v>
      </c>
      <c r="C34" s="80">
        <f>C32/C15*100</f>
        <v>12.109188258915765</v>
      </c>
      <c r="D34" s="80">
        <f aca="true" t="shared" si="5" ref="D34:I34">D32/D15*100</f>
        <v>10.43329374413672</v>
      </c>
      <c r="E34" s="80">
        <f t="shared" si="5"/>
        <v>5.949672586351565</v>
      </c>
      <c r="F34" s="80">
        <f t="shared" si="5"/>
        <v>6.09992254066615</v>
      </c>
      <c r="G34" s="80">
        <f t="shared" si="5"/>
        <v>5.914975080689612</v>
      </c>
      <c r="H34" s="80">
        <f t="shared" si="5"/>
        <v>5.877246552113136</v>
      </c>
      <c r="I34" s="80">
        <f t="shared" si="5"/>
        <v>6.220132660567564</v>
      </c>
    </row>
    <row r="35" spans="1:9" s="24" customFormat="1" ht="20.25" customHeight="1">
      <c r="A35" s="169" t="s">
        <v>96</v>
      </c>
      <c r="B35" s="170"/>
      <c r="C35" s="170"/>
      <c r="D35" s="170"/>
      <c r="E35" s="170"/>
      <c r="F35" s="170"/>
      <c r="G35" s="170"/>
      <c r="H35" s="170"/>
      <c r="I35" s="171"/>
    </row>
    <row r="36" spans="1:9" ht="25.5">
      <c r="A36" s="23" t="s">
        <v>2</v>
      </c>
      <c r="B36" s="20" t="s">
        <v>3</v>
      </c>
      <c r="C36" s="80">
        <v>3</v>
      </c>
      <c r="D36" s="80">
        <v>3.3</v>
      </c>
      <c r="E36" s="80">
        <v>4.7</v>
      </c>
      <c r="F36" s="80">
        <v>4.3</v>
      </c>
      <c r="G36" s="80">
        <v>4.3</v>
      </c>
      <c r="H36" s="80">
        <v>4.3</v>
      </c>
      <c r="I36" s="80">
        <v>4.3</v>
      </c>
    </row>
    <row r="37" spans="1:9" ht="25.5">
      <c r="A37" s="8" t="s">
        <v>217</v>
      </c>
      <c r="B37" s="20" t="s">
        <v>5</v>
      </c>
      <c r="C37" s="80">
        <v>9.6</v>
      </c>
      <c r="D37" s="80">
        <f>D36/1.038*100/C36</f>
        <v>105.97302504816953</v>
      </c>
      <c r="E37" s="80">
        <f>E36/1.286*100/D36</f>
        <v>110.74979970780905</v>
      </c>
      <c r="F37" s="80">
        <f>F36/1.101*100/E36</f>
        <v>83.09660463408507</v>
      </c>
      <c r="G37" s="80">
        <f>G36/1.061*100/F36</f>
        <v>94.25070688030162</v>
      </c>
      <c r="H37" s="80">
        <f>H36/1.059*100/G36</f>
        <v>94.42870632672334</v>
      </c>
      <c r="I37" s="80">
        <f>I36/1.056*100/H36</f>
        <v>94.69696969696969</v>
      </c>
    </row>
    <row r="38" spans="1:9" s="9" customFormat="1" ht="47.25">
      <c r="A38" s="23" t="s">
        <v>219</v>
      </c>
      <c r="B38" s="20" t="s">
        <v>6</v>
      </c>
      <c r="C38" s="80">
        <f>C36/C15*100</f>
        <v>0.7170857634573095</v>
      </c>
      <c r="D38" s="80">
        <f aca="true" t="shared" si="6" ref="D38:I38">D36/D15*100</f>
        <v>0.9531445683468198</v>
      </c>
      <c r="E38" s="80">
        <f t="shared" si="6"/>
        <v>1.016409608747178</v>
      </c>
      <c r="F38" s="80">
        <f t="shared" si="6"/>
        <v>0.8326878388845856</v>
      </c>
      <c r="G38" s="80">
        <f t="shared" si="6"/>
        <v>0.7682597933023825</v>
      </c>
      <c r="H38" s="80">
        <f t="shared" si="6"/>
        <v>0.7047324391884268</v>
      </c>
      <c r="I38" s="80">
        <f t="shared" si="6"/>
        <v>0.6768268371258132</v>
      </c>
    </row>
    <row r="39" spans="1:9" s="24" customFormat="1" ht="15.75" hidden="1">
      <c r="A39" s="154" t="s">
        <v>157</v>
      </c>
      <c r="B39" s="155"/>
      <c r="C39" s="155"/>
      <c r="D39" s="155"/>
      <c r="E39" s="155"/>
      <c r="F39" s="155"/>
      <c r="G39" s="155"/>
      <c r="H39" s="155"/>
      <c r="I39" s="156"/>
    </row>
    <row r="40" spans="1:9" ht="25.5" hidden="1">
      <c r="A40" s="23" t="s">
        <v>2</v>
      </c>
      <c r="B40" s="20" t="s">
        <v>3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</row>
    <row r="41" spans="1:9" ht="31.5" hidden="1">
      <c r="A41" s="23" t="s">
        <v>4</v>
      </c>
      <c r="B41" s="20" t="s">
        <v>5</v>
      </c>
      <c r="C41" s="80"/>
      <c r="D41" s="80"/>
      <c r="E41" s="80"/>
      <c r="F41" s="80"/>
      <c r="G41" s="80"/>
      <c r="H41" s="80"/>
      <c r="I41" s="80"/>
    </row>
    <row r="42" spans="1:9" s="9" customFormat="1" ht="47.25" hidden="1">
      <c r="A42" s="23" t="s">
        <v>219</v>
      </c>
      <c r="B42" s="20" t="s">
        <v>6</v>
      </c>
      <c r="C42" s="80"/>
      <c r="D42" s="80"/>
      <c r="E42" s="80"/>
      <c r="F42" s="80"/>
      <c r="G42" s="80"/>
      <c r="H42" s="80"/>
      <c r="I42" s="80"/>
    </row>
    <row r="43" spans="1:9" s="24" customFormat="1" ht="31.5" hidden="1">
      <c r="A43" s="52" t="s">
        <v>97</v>
      </c>
      <c r="B43" s="20"/>
      <c r="C43" s="80"/>
      <c r="D43" s="80"/>
      <c r="E43" s="80"/>
      <c r="F43" s="80"/>
      <c r="G43" s="80"/>
      <c r="H43" s="80"/>
      <c r="I43" s="80"/>
    </row>
    <row r="44" spans="1:9" ht="25.5" hidden="1">
      <c r="A44" s="23" t="s">
        <v>2</v>
      </c>
      <c r="B44" s="20" t="s">
        <v>3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</row>
    <row r="45" spans="1:9" ht="25.5" hidden="1">
      <c r="A45" s="8" t="s">
        <v>217</v>
      </c>
      <c r="B45" s="20" t="s">
        <v>5</v>
      </c>
      <c r="C45" s="80"/>
      <c r="D45" s="80"/>
      <c r="E45" s="80"/>
      <c r="F45" s="80"/>
      <c r="G45" s="80"/>
      <c r="H45" s="80"/>
      <c r="I45" s="80"/>
    </row>
    <row r="46" spans="1:9" s="9" customFormat="1" ht="47.25" hidden="1">
      <c r="A46" s="23" t="s">
        <v>219</v>
      </c>
      <c r="B46" s="20" t="s">
        <v>6</v>
      </c>
      <c r="C46" s="80"/>
      <c r="D46" s="80"/>
      <c r="E46" s="80"/>
      <c r="F46" s="80"/>
      <c r="G46" s="80"/>
      <c r="H46" s="80"/>
      <c r="I46" s="80"/>
    </row>
    <row r="47" spans="1:9" s="24" customFormat="1" ht="47.25" hidden="1">
      <c r="A47" s="52" t="s">
        <v>98</v>
      </c>
      <c r="B47" s="20"/>
      <c r="C47" s="80"/>
      <c r="D47" s="80"/>
      <c r="E47" s="80"/>
      <c r="F47" s="80"/>
      <c r="G47" s="80"/>
      <c r="H47" s="80"/>
      <c r="I47" s="80"/>
    </row>
    <row r="48" spans="1:9" ht="25.5" hidden="1">
      <c r="A48" s="23" t="s">
        <v>2</v>
      </c>
      <c r="B48" s="20" t="s">
        <v>3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</row>
    <row r="49" spans="1:9" ht="25.5" hidden="1">
      <c r="A49" s="8" t="s">
        <v>217</v>
      </c>
      <c r="B49" s="20" t="s">
        <v>5</v>
      </c>
      <c r="C49" s="80"/>
      <c r="D49" s="80"/>
      <c r="E49" s="80"/>
      <c r="F49" s="80"/>
      <c r="G49" s="80"/>
      <c r="H49" s="80"/>
      <c r="I49" s="80"/>
    </row>
    <row r="50" spans="1:9" s="9" customFormat="1" ht="47.25" hidden="1">
      <c r="A50" s="23" t="s">
        <v>219</v>
      </c>
      <c r="B50" s="20" t="s">
        <v>6</v>
      </c>
      <c r="C50" s="80"/>
      <c r="D50" s="80"/>
      <c r="E50" s="80"/>
      <c r="F50" s="80"/>
      <c r="G50" s="80"/>
      <c r="H50" s="80"/>
      <c r="I50" s="80"/>
    </row>
    <row r="51" spans="1:9" s="24" customFormat="1" ht="47.25" hidden="1">
      <c r="A51" s="52" t="s">
        <v>99</v>
      </c>
      <c r="B51" s="20"/>
      <c r="C51" s="80"/>
      <c r="D51" s="80"/>
      <c r="E51" s="80"/>
      <c r="F51" s="80"/>
      <c r="G51" s="80"/>
      <c r="H51" s="80"/>
      <c r="I51" s="80"/>
    </row>
    <row r="52" spans="1:9" ht="25.5" hidden="1">
      <c r="A52" s="23" t="s">
        <v>2</v>
      </c>
      <c r="B52" s="20" t="s">
        <v>3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</row>
    <row r="53" spans="1:9" ht="25.5" hidden="1">
      <c r="A53" s="8" t="s">
        <v>217</v>
      </c>
      <c r="B53" s="20" t="s">
        <v>5</v>
      </c>
      <c r="C53" s="80"/>
      <c r="D53" s="80"/>
      <c r="E53" s="80"/>
      <c r="F53" s="80"/>
      <c r="G53" s="80"/>
      <c r="H53" s="80"/>
      <c r="I53" s="80"/>
    </row>
    <row r="54" spans="1:9" s="9" customFormat="1" ht="47.25" hidden="1">
      <c r="A54" s="23" t="s">
        <v>219</v>
      </c>
      <c r="B54" s="20" t="s">
        <v>6</v>
      </c>
      <c r="C54" s="80"/>
      <c r="D54" s="80"/>
      <c r="E54" s="80"/>
      <c r="F54" s="80"/>
      <c r="G54" s="80"/>
      <c r="H54" s="80"/>
      <c r="I54" s="80"/>
    </row>
    <row r="55" spans="1:9" s="24" customFormat="1" ht="22.5" customHeight="1">
      <c r="A55" s="169" t="s">
        <v>100</v>
      </c>
      <c r="B55" s="170"/>
      <c r="C55" s="170"/>
      <c r="D55" s="170"/>
      <c r="E55" s="170"/>
      <c r="F55" s="170"/>
      <c r="G55" s="170"/>
      <c r="H55" s="170"/>
      <c r="I55" s="171"/>
    </row>
    <row r="56" spans="1:9" ht="25.5">
      <c r="A56" s="23" t="s">
        <v>2</v>
      </c>
      <c r="B56" s="20" t="s">
        <v>3</v>
      </c>
      <c r="C56" s="82">
        <v>18.7</v>
      </c>
      <c r="D56" s="82">
        <v>7.9</v>
      </c>
      <c r="E56" s="82">
        <v>28.8</v>
      </c>
      <c r="F56" s="82">
        <v>31.7</v>
      </c>
      <c r="G56" s="82">
        <v>34.8</v>
      </c>
      <c r="H56" s="82">
        <v>38.7</v>
      </c>
      <c r="I56" s="82">
        <v>40.4</v>
      </c>
    </row>
    <row r="57" spans="1:9" ht="31.5">
      <c r="A57" s="23" t="s">
        <v>4</v>
      </c>
      <c r="B57" s="20" t="s">
        <v>5</v>
      </c>
      <c r="C57" s="82">
        <v>108.2</v>
      </c>
      <c r="D57" s="80">
        <f>D56/0.825*100/C56</f>
        <v>51.2072597634095</v>
      </c>
      <c r="E57" s="80">
        <f>E56/1.226*100/D56</f>
        <v>297.3547814235861</v>
      </c>
      <c r="F57" s="80">
        <f>F56/1.191*100/E56</f>
        <v>92.41766955872748</v>
      </c>
      <c r="G57" s="80">
        <f>G56/1.003*100/F56</f>
        <v>109.45082732873932</v>
      </c>
      <c r="H57" s="80">
        <f>H56/1.053*100/G56</f>
        <v>105.60958836820909</v>
      </c>
      <c r="I57" s="80">
        <f>I56/1.049*100/H56</f>
        <v>99.51645839645484</v>
      </c>
    </row>
    <row r="58" spans="1:9" s="9" customFormat="1" ht="47.25">
      <c r="A58" s="23" t="s">
        <v>219</v>
      </c>
      <c r="B58" s="20" t="s">
        <v>6</v>
      </c>
      <c r="C58" s="80">
        <f>C56/C15*100</f>
        <v>4.469834592217229</v>
      </c>
      <c r="D58" s="80">
        <f aca="true" t="shared" si="7" ref="D58:I58">D56/D15*100</f>
        <v>2.2817703302848114</v>
      </c>
      <c r="E58" s="80">
        <f t="shared" si="7"/>
        <v>6.228212070621005</v>
      </c>
      <c r="F58" s="80">
        <f t="shared" si="7"/>
        <v>6.138652207591014</v>
      </c>
      <c r="G58" s="80">
        <f t="shared" si="7"/>
        <v>6.217544373703002</v>
      </c>
      <c r="H58" s="80">
        <f t="shared" si="7"/>
        <v>6.342591952695842</v>
      </c>
      <c r="I58" s="80">
        <f t="shared" si="7"/>
        <v>6.359024237182058</v>
      </c>
    </row>
    <row r="59" spans="1:9" s="24" customFormat="1" ht="24" customHeight="1" hidden="1">
      <c r="A59" s="169" t="s">
        <v>101</v>
      </c>
      <c r="B59" s="170"/>
      <c r="C59" s="170"/>
      <c r="D59" s="170"/>
      <c r="E59" s="170"/>
      <c r="F59" s="170"/>
      <c r="G59" s="170"/>
      <c r="H59" s="170"/>
      <c r="I59" s="171"/>
    </row>
    <row r="60" spans="1:9" ht="25.5" hidden="1">
      <c r="A60" s="23" t="s">
        <v>2</v>
      </c>
      <c r="B60" s="20" t="s">
        <v>3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</row>
    <row r="61" spans="1:9" ht="25.5" hidden="1">
      <c r="A61" s="8" t="s">
        <v>217</v>
      </c>
      <c r="B61" s="20" t="s">
        <v>5</v>
      </c>
      <c r="C61" s="80"/>
      <c r="D61" s="80"/>
      <c r="E61" s="80"/>
      <c r="F61" s="80"/>
      <c r="G61" s="80"/>
      <c r="H61" s="80"/>
      <c r="I61" s="80"/>
    </row>
    <row r="62" spans="1:9" s="9" customFormat="1" ht="47.25" hidden="1">
      <c r="A62" s="23" t="s">
        <v>219</v>
      </c>
      <c r="B62" s="20" t="s">
        <v>6</v>
      </c>
      <c r="C62" s="80"/>
      <c r="D62" s="80"/>
      <c r="E62" s="80"/>
      <c r="F62" s="80"/>
      <c r="G62" s="80"/>
      <c r="H62" s="80"/>
      <c r="I62" s="80"/>
    </row>
    <row r="63" spans="1:9" s="24" customFormat="1" ht="24" customHeight="1">
      <c r="A63" s="169" t="s">
        <v>102</v>
      </c>
      <c r="B63" s="170"/>
      <c r="C63" s="170"/>
      <c r="D63" s="170"/>
      <c r="E63" s="170"/>
      <c r="F63" s="170"/>
      <c r="G63" s="170"/>
      <c r="H63" s="170"/>
      <c r="I63" s="171"/>
    </row>
    <row r="64" spans="1:9" ht="25.5">
      <c r="A64" s="23" t="s">
        <v>2</v>
      </c>
      <c r="B64" s="20" t="s">
        <v>3</v>
      </c>
      <c r="C64" s="80">
        <v>197.4</v>
      </c>
      <c r="D64" s="80">
        <v>162.1</v>
      </c>
      <c r="E64" s="80">
        <v>281.2</v>
      </c>
      <c r="F64" s="80">
        <v>322.5</v>
      </c>
      <c r="G64" s="80">
        <v>354.7</v>
      </c>
      <c r="H64" s="80">
        <v>391.9</v>
      </c>
      <c r="I64" s="80">
        <v>404.8</v>
      </c>
    </row>
    <row r="65" spans="1:9" ht="25.5">
      <c r="A65" s="8" t="s">
        <v>217</v>
      </c>
      <c r="B65" s="20" t="s">
        <v>5</v>
      </c>
      <c r="C65" s="80">
        <v>119.8</v>
      </c>
      <c r="D65" s="80">
        <f>D64/1.191*100/C64</f>
        <v>68.948386114365</v>
      </c>
      <c r="E65" s="80">
        <f>E64/1.072*100/D64</f>
        <v>161.82198200852616</v>
      </c>
      <c r="F65" s="80">
        <f>F64/1.088*100/E64</f>
        <v>105.41089657769224</v>
      </c>
      <c r="G65" s="80">
        <f>G64/1.065*100/F64</f>
        <v>103.27182734650799</v>
      </c>
      <c r="H65" s="80">
        <f>H64/1.054*100/G64</f>
        <v>104.82707411292863</v>
      </c>
      <c r="I65" s="80">
        <f>I64/1.05*100/H64</f>
        <v>98.37300574733594</v>
      </c>
    </row>
    <row r="66" spans="1:9" s="9" customFormat="1" ht="47.25">
      <c r="A66" s="23" t="s">
        <v>219</v>
      </c>
      <c r="B66" s="20" t="s">
        <v>6</v>
      </c>
      <c r="C66" s="80">
        <f>C64/C15*100</f>
        <v>47.18424323549096</v>
      </c>
      <c r="D66" s="80">
        <f aca="true" t="shared" si="8" ref="D66:I66">D64/D15*100</f>
        <v>46.8196165239453</v>
      </c>
      <c r="E66" s="80">
        <f t="shared" si="8"/>
        <v>60.81157063398008</v>
      </c>
      <c r="F66" s="80">
        <f t="shared" si="8"/>
        <v>62.45158791634392</v>
      </c>
      <c r="G66" s="80">
        <f t="shared" si="8"/>
        <v>63.372499694036065</v>
      </c>
      <c r="H66" s="80">
        <f t="shared" si="8"/>
        <v>64.22898672510337</v>
      </c>
      <c r="I66" s="80">
        <f t="shared" si="8"/>
        <v>63.71616364384399</v>
      </c>
    </row>
    <row r="67" spans="1:9" s="24" customFormat="1" ht="47.25" hidden="1">
      <c r="A67" s="52" t="s">
        <v>103</v>
      </c>
      <c r="B67" s="20"/>
      <c r="C67" s="80"/>
      <c r="D67" s="80"/>
      <c r="E67" s="80"/>
      <c r="F67" s="80"/>
      <c r="G67" s="80"/>
      <c r="H67" s="80"/>
      <c r="I67" s="80"/>
    </row>
    <row r="68" spans="1:9" ht="25.5" hidden="1">
      <c r="A68" s="23" t="s">
        <v>2</v>
      </c>
      <c r="B68" s="20" t="s">
        <v>3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</row>
    <row r="69" spans="1:9" ht="25.5" hidden="1">
      <c r="A69" s="8" t="s">
        <v>217</v>
      </c>
      <c r="B69" s="20" t="s">
        <v>5</v>
      </c>
      <c r="C69" s="80"/>
      <c r="D69" s="80"/>
      <c r="E69" s="80"/>
      <c r="F69" s="80"/>
      <c r="G69" s="80"/>
      <c r="H69" s="80"/>
      <c r="I69" s="80"/>
    </row>
    <row r="70" spans="1:9" s="9" customFormat="1" ht="47.25" hidden="1">
      <c r="A70" s="23" t="s">
        <v>219</v>
      </c>
      <c r="B70" s="20" t="s">
        <v>6</v>
      </c>
      <c r="C70" s="80"/>
      <c r="D70" s="80"/>
      <c r="E70" s="80"/>
      <c r="F70" s="80"/>
      <c r="G70" s="80"/>
      <c r="H70" s="80"/>
      <c r="I70" s="80"/>
    </row>
    <row r="71" spans="1:9" s="24" customFormat="1" ht="15.75" hidden="1">
      <c r="A71" s="53" t="s">
        <v>87</v>
      </c>
      <c r="B71" s="20"/>
      <c r="C71" s="80"/>
      <c r="D71" s="80"/>
      <c r="E71" s="80"/>
      <c r="F71" s="80"/>
      <c r="G71" s="80"/>
      <c r="H71" s="80"/>
      <c r="I71" s="80"/>
    </row>
    <row r="72" spans="1:9" ht="25.5" hidden="1">
      <c r="A72" s="23" t="s">
        <v>2</v>
      </c>
      <c r="B72" s="20" t="s">
        <v>3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</row>
    <row r="73" spans="1:9" ht="25.5" hidden="1">
      <c r="A73" s="8" t="s">
        <v>217</v>
      </c>
      <c r="B73" s="20" t="s">
        <v>5</v>
      </c>
      <c r="C73" s="80"/>
      <c r="D73" s="80"/>
      <c r="E73" s="80"/>
      <c r="F73" s="80"/>
      <c r="G73" s="80"/>
      <c r="H73" s="80"/>
      <c r="I73" s="80"/>
    </row>
    <row r="74" spans="1:9" s="9" customFormat="1" ht="47.25" hidden="1">
      <c r="A74" s="23" t="s">
        <v>219</v>
      </c>
      <c r="B74" s="20" t="s">
        <v>6</v>
      </c>
      <c r="C74" s="80"/>
      <c r="D74" s="80"/>
      <c r="E74" s="80"/>
      <c r="F74" s="80"/>
      <c r="G74" s="80"/>
      <c r="H74" s="80"/>
      <c r="I74" s="80"/>
    </row>
    <row r="75" spans="1:9" s="24" customFormat="1" ht="31.5" hidden="1">
      <c r="A75" s="53" t="s">
        <v>88</v>
      </c>
      <c r="B75" s="20"/>
      <c r="C75" s="80"/>
      <c r="D75" s="80"/>
      <c r="E75" s="80"/>
      <c r="F75" s="80"/>
      <c r="G75" s="80"/>
      <c r="H75" s="80"/>
      <c r="I75" s="80"/>
    </row>
    <row r="76" spans="1:9" ht="25.5" hidden="1">
      <c r="A76" s="8" t="s">
        <v>2</v>
      </c>
      <c r="B76" s="20" t="s">
        <v>3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</row>
    <row r="77" spans="1:9" ht="31.5" hidden="1">
      <c r="A77" s="8" t="s">
        <v>4</v>
      </c>
      <c r="B77" s="20" t="s">
        <v>5</v>
      </c>
      <c r="C77" s="80"/>
      <c r="D77" s="80"/>
      <c r="E77" s="80"/>
      <c r="F77" s="80"/>
      <c r="G77" s="80"/>
      <c r="H77" s="80"/>
      <c r="I77" s="80"/>
    </row>
    <row r="78" spans="1:9" s="9" customFormat="1" ht="47.25" hidden="1">
      <c r="A78" s="23" t="s">
        <v>219</v>
      </c>
      <c r="B78" s="20" t="s">
        <v>6</v>
      </c>
      <c r="C78" s="80"/>
      <c r="D78" s="80"/>
      <c r="E78" s="80"/>
      <c r="F78" s="80"/>
      <c r="G78" s="80"/>
      <c r="H78" s="80"/>
      <c r="I78" s="80"/>
    </row>
    <row r="79" spans="1:9" ht="19.5" customHeight="1">
      <c r="A79" s="172" t="s">
        <v>225</v>
      </c>
      <c r="B79" s="173"/>
      <c r="C79" s="173"/>
      <c r="D79" s="173"/>
      <c r="E79" s="173"/>
      <c r="F79" s="173"/>
      <c r="G79" s="173"/>
      <c r="H79" s="173"/>
      <c r="I79" s="174"/>
    </row>
    <row r="80" spans="1:9" ht="25.5">
      <c r="A80" s="8" t="s">
        <v>2</v>
      </c>
      <c r="B80" s="20" t="s">
        <v>3</v>
      </c>
      <c r="C80" s="80">
        <f>C85+C89</f>
        <v>236.1</v>
      </c>
      <c r="D80" s="80">
        <f aca="true" t="shared" si="9" ref="D80:I80">D85+D89</f>
        <v>272.1</v>
      </c>
      <c r="E80" s="80">
        <f t="shared" si="9"/>
        <v>315.09999999999997</v>
      </c>
      <c r="F80" s="80">
        <f t="shared" si="9"/>
        <v>367.7</v>
      </c>
      <c r="G80" s="80">
        <f t="shared" si="9"/>
        <v>411.79999999999995</v>
      </c>
      <c r="H80" s="80">
        <f t="shared" si="9"/>
        <v>461.2</v>
      </c>
      <c r="I80" s="80">
        <f t="shared" si="9"/>
        <v>511.9</v>
      </c>
    </row>
    <row r="81" spans="1:9" ht="25.5">
      <c r="A81" s="8" t="s">
        <v>217</v>
      </c>
      <c r="B81" s="20" t="s">
        <v>5</v>
      </c>
      <c r="C81" s="80">
        <v>102.2</v>
      </c>
      <c r="D81" s="80">
        <f>D80/1.226*100/C80</f>
        <v>94.00308023323544</v>
      </c>
      <c r="E81" s="80">
        <f>E80/1.147*100/D80</f>
        <v>100.96165091363723</v>
      </c>
      <c r="F81" s="80">
        <f>F80/1.162*100/E80</f>
        <v>100.42436600461784</v>
      </c>
      <c r="G81" s="80">
        <f>G80/1.09*100/F80</f>
        <v>102.74630544944647</v>
      </c>
      <c r="H81" s="80">
        <f>H80/1.109*100/G80</f>
        <v>100.98838108092603</v>
      </c>
      <c r="I81" s="80">
        <f>I80/1.096*100/H80</f>
        <v>101.2710415862143</v>
      </c>
    </row>
    <row r="82" spans="1:9" s="9" customFormat="1" ht="31.5">
      <c r="A82" s="8" t="s">
        <v>218</v>
      </c>
      <c r="B82" s="20" t="s">
        <v>6</v>
      </c>
      <c r="C82" s="80">
        <f aca="true" t="shared" si="10" ref="C82:I82">C80/C7*100</f>
        <v>36.07554319591724</v>
      </c>
      <c r="D82" s="80">
        <f t="shared" si="10"/>
        <v>44.006168950049364</v>
      </c>
      <c r="E82" s="80">
        <f t="shared" si="10"/>
        <v>40.526705697146795</v>
      </c>
      <c r="F82" s="80">
        <f t="shared" si="10"/>
        <v>41.590317837348714</v>
      </c>
      <c r="G82" s="80">
        <f t="shared" si="10"/>
        <v>42.38777609825564</v>
      </c>
      <c r="H82" s="80">
        <f t="shared" si="10"/>
        <v>43.048062474308985</v>
      </c>
      <c r="I82" s="80">
        <f t="shared" si="10"/>
        <v>44.621003127254745</v>
      </c>
    </row>
    <row r="83" spans="1:9" s="24" customFormat="1" ht="15.75">
      <c r="A83" s="154" t="s">
        <v>89</v>
      </c>
      <c r="B83" s="155"/>
      <c r="C83" s="155"/>
      <c r="D83" s="155"/>
      <c r="E83" s="155"/>
      <c r="F83" s="155"/>
      <c r="G83" s="155"/>
      <c r="H83" s="155"/>
      <c r="I83" s="156"/>
    </row>
    <row r="84" spans="1:9" s="24" customFormat="1" ht="21" customHeight="1">
      <c r="A84" s="154" t="s">
        <v>155</v>
      </c>
      <c r="B84" s="155"/>
      <c r="C84" s="155"/>
      <c r="D84" s="155"/>
      <c r="E84" s="155"/>
      <c r="F84" s="155"/>
      <c r="G84" s="155"/>
      <c r="H84" s="155"/>
      <c r="I84" s="156"/>
    </row>
    <row r="85" spans="1:9" ht="25.5">
      <c r="A85" s="8" t="s">
        <v>2</v>
      </c>
      <c r="B85" s="20" t="s">
        <v>3</v>
      </c>
      <c r="C85" s="80">
        <v>205</v>
      </c>
      <c r="D85" s="80">
        <v>236.3</v>
      </c>
      <c r="E85" s="80">
        <v>275.4</v>
      </c>
      <c r="F85" s="80">
        <v>320.8</v>
      </c>
      <c r="G85" s="80">
        <v>362.9</v>
      </c>
      <c r="H85" s="80">
        <v>411</v>
      </c>
      <c r="I85" s="80">
        <v>461.7</v>
      </c>
    </row>
    <row r="86" spans="1:9" ht="25.5">
      <c r="A86" s="8" t="s">
        <v>217</v>
      </c>
      <c r="B86" s="20" t="s">
        <v>5</v>
      </c>
      <c r="C86" s="80">
        <v>96.5</v>
      </c>
      <c r="D86" s="80">
        <f>D85/1.226*100/C85</f>
        <v>94.01981458640036</v>
      </c>
      <c r="E86" s="80">
        <f>E85/1.147*100/D85</f>
        <v>101.61008072356411</v>
      </c>
      <c r="F86" s="80">
        <f>F85/1.162*100/E85</f>
        <v>100.2453636519311</v>
      </c>
      <c r="G86" s="80">
        <f>G85/1.09*100/F85</f>
        <v>103.78297375826489</v>
      </c>
      <c r="H86" s="80">
        <f>H85/1.109*100/G85</f>
        <v>102.12293961999832</v>
      </c>
      <c r="I86" s="80">
        <f>I85/1.096*100/H85</f>
        <v>102.4961372475891</v>
      </c>
    </row>
    <row r="87" spans="1:9" s="9" customFormat="1" ht="47.25">
      <c r="A87" s="23" t="s">
        <v>220</v>
      </c>
      <c r="B87" s="20" t="s">
        <v>6</v>
      </c>
      <c r="C87" s="80">
        <v>86.8</v>
      </c>
      <c r="D87" s="80">
        <f aca="true" t="shared" si="11" ref="D87:I87">D85/D80*100</f>
        <v>86.843072399853</v>
      </c>
      <c r="E87" s="80">
        <f t="shared" si="11"/>
        <v>87.40082513487782</v>
      </c>
      <c r="F87" s="80">
        <f t="shared" si="11"/>
        <v>87.24503671471308</v>
      </c>
      <c r="G87" s="80">
        <f t="shared" si="11"/>
        <v>88.12530354541039</v>
      </c>
      <c r="H87" s="80">
        <f t="shared" si="11"/>
        <v>89.1153512575889</v>
      </c>
      <c r="I87" s="80">
        <f t="shared" si="11"/>
        <v>90.19339714788045</v>
      </c>
    </row>
    <row r="88" spans="1:9" s="24" customFormat="1" ht="21.75" customHeight="1">
      <c r="A88" s="154" t="s">
        <v>156</v>
      </c>
      <c r="B88" s="155"/>
      <c r="C88" s="155"/>
      <c r="D88" s="155"/>
      <c r="E88" s="155"/>
      <c r="F88" s="155"/>
      <c r="G88" s="155"/>
      <c r="H88" s="155"/>
      <c r="I88" s="156"/>
    </row>
    <row r="89" spans="1:9" ht="25.5">
      <c r="A89" s="8" t="s">
        <v>2</v>
      </c>
      <c r="B89" s="20" t="s">
        <v>3</v>
      </c>
      <c r="C89" s="80">
        <v>31.1</v>
      </c>
      <c r="D89" s="80">
        <v>35.8</v>
      </c>
      <c r="E89" s="80">
        <v>39.7</v>
      </c>
      <c r="F89" s="80">
        <v>46.9</v>
      </c>
      <c r="G89" s="80">
        <v>48.9</v>
      </c>
      <c r="H89" s="80">
        <v>50.2</v>
      </c>
      <c r="I89" s="80">
        <v>50.2</v>
      </c>
    </row>
    <row r="90" spans="1:9" ht="25.5">
      <c r="A90" s="8" t="s">
        <v>217</v>
      </c>
      <c r="B90" s="20" t="s">
        <v>5</v>
      </c>
      <c r="C90" s="80">
        <v>168.4</v>
      </c>
      <c r="D90" s="80">
        <f>D89/1.226*100/C89</f>
        <v>93.8927734036917</v>
      </c>
      <c r="E90" s="80">
        <f>E89/1.147*100/D89</f>
        <v>96.68165191682944</v>
      </c>
      <c r="F90" s="80">
        <f>F89/1.162*100/E89</f>
        <v>101.66611028496858</v>
      </c>
      <c r="G90" s="80">
        <f>G89/1.09*100/F89</f>
        <v>95.65540580192094</v>
      </c>
      <c r="H90" s="80">
        <f>H89/1.109*100/G89</f>
        <v>92.56851822143054</v>
      </c>
      <c r="I90" s="80">
        <f>I89/1.096*100/H89</f>
        <v>91.24087591240875</v>
      </c>
    </row>
    <row r="91" spans="1:9" s="9" customFormat="1" ht="47.25">
      <c r="A91" s="23" t="s">
        <v>220</v>
      </c>
      <c r="B91" s="20" t="s">
        <v>6</v>
      </c>
      <c r="C91" s="80">
        <f>C89/C80*100</f>
        <v>13.172384582803897</v>
      </c>
      <c r="D91" s="80">
        <f aca="true" t="shared" si="12" ref="D91:I91">D89/D80*100</f>
        <v>13.156927600147004</v>
      </c>
      <c r="E91" s="80">
        <f t="shared" si="12"/>
        <v>12.599174865122187</v>
      </c>
      <c r="F91" s="80">
        <f t="shared" si="12"/>
        <v>12.75496328528692</v>
      </c>
      <c r="G91" s="80">
        <f t="shared" si="12"/>
        <v>11.874696454589607</v>
      </c>
      <c r="H91" s="80">
        <f t="shared" si="12"/>
        <v>10.884648742411104</v>
      </c>
      <c r="I91" s="80">
        <f t="shared" si="12"/>
        <v>9.806602852119555</v>
      </c>
    </row>
    <row r="92" spans="1:9" ht="23.25" customHeight="1">
      <c r="A92" s="157" t="s">
        <v>231</v>
      </c>
      <c r="B92" s="158"/>
      <c r="C92" s="158"/>
      <c r="D92" s="158"/>
      <c r="E92" s="158"/>
      <c r="F92" s="158"/>
      <c r="G92" s="158"/>
      <c r="H92" s="158"/>
      <c r="I92" s="159"/>
    </row>
    <row r="93" spans="1:9" ht="31.5" hidden="1">
      <c r="A93" s="40" t="s">
        <v>232</v>
      </c>
      <c r="B93" s="54" t="s">
        <v>9</v>
      </c>
      <c r="C93" s="82"/>
      <c r="D93" s="82"/>
      <c r="E93" s="82"/>
      <c r="F93" s="82"/>
      <c r="G93" s="82"/>
      <c r="H93" s="82"/>
      <c r="I93" s="82"/>
    </row>
    <row r="94" spans="1:9" ht="31.5" hidden="1">
      <c r="A94" s="40" t="s">
        <v>233</v>
      </c>
      <c r="B94" s="54" t="s">
        <v>234</v>
      </c>
      <c r="C94" s="82"/>
      <c r="D94" s="82"/>
      <c r="E94" s="82"/>
      <c r="F94" s="82"/>
      <c r="G94" s="82"/>
      <c r="H94" s="82"/>
      <c r="I94" s="82"/>
    </row>
    <row r="95" spans="1:9" ht="31.5" hidden="1">
      <c r="A95" s="8" t="s">
        <v>235</v>
      </c>
      <c r="B95" s="20" t="s">
        <v>8</v>
      </c>
      <c r="C95" s="82"/>
      <c r="D95" s="82"/>
      <c r="E95" s="82"/>
      <c r="F95" s="82"/>
      <c r="G95" s="82"/>
      <c r="H95" s="82"/>
      <c r="I95" s="82"/>
    </row>
    <row r="96" spans="1:9" ht="31.5" hidden="1">
      <c r="A96" s="17" t="s">
        <v>236</v>
      </c>
      <c r="B96" s="20" t="s">
        <v>8</v>
      </c>
      <c r="C96" s="83"/>
      <c r="D96" s="83"/>
      <c r="E96" s="83"/>
      <c r="F96" s="83"/>
      <c r="G96" s="83"/>
      <c r="H96" s="83"/>
      <c r="I96" s="83"/>
    </row>
    <row r="97" spans="1:9" ht="31.5" hidden="1">
      <c r="A97" s="8" t="s">
        <v>244</v>
      </c>
      <c r="B97" s="20" t="s">
        <v>245</v>
      </c>
      <c r="C97" s="83"/>
      <c r="D97" s="83"/>
      <c r="E97" s="83"/>
      <c r="F97" s="83"/>
      <c r="G97" s="83"/>
      <c r="H97" s="83"/>
      <c r="I97" s="83"/>
    </row>
    <row r="98" spans="1:9" ht="15.75">
      <c r="A98" s="8" t="s">
        <v>246</v>
      </c>
      <c r="B98" s="20" t="s">
        <v>245</v>
      </c>
      <c r="C98" s="84">
        <v>0.211</v>
      </c>
      <c r="D98" s="84">
        <v>0.348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</row>
    <row r="99" spans="1:9" ht="15.75">
      <c r="A99" s="17" t="s">
        <v>237</v>
      </c>
      <c r="B99" s="20" t="s">
        <v>9</v>
      </c>
      <c r="C99" s="95"/>
      <c r="D99" s="95"/>
      <c r="E99" s="95"/>
      <c r="F99" s="95"/>
      <c r="G99" s="95"/>
      <c r="H99" s="95"/>
      <c r="I99" s="95"/>
    </row>
    <row r="100" spans="1:9" ht="31.5">
      <c r="A100" s="8" t="s">
        <v>238</v>
      </c>
      <c r="B100" s="20" t="s">
        <v>10</v>
      </c>
      <c r="C100" s="84">
        <v>28.1</v>
      </c>
      <c r="D100" s="84">
        <v>51.063</v>
      </c>
      <c r="E100" s="84">
        <v>78.778</v>
      </c>
      <c r="F100" s="85">
        <v>90</v>
      </c>
      <c r="G100" s="84">
        <f>F100*105.1/100</f>
        <v>94.59</v>
      </c>
      <c r="H100" s="85">
        <f>G100*105.8/100</f>
        <v>100.07621999999999</v>
      </c>
      <c r="I100" s="85">
        <f>H100*105.3/100</f>
        <v>105.38025966</v>
      </c>
    </row>
    <row r="101" spans="1:9" ht="27.75" customHeight="1" thickBot="1">
      <c r="A101" s="8" t="s">
        <v>239</v>
      </c>
      <c r="B101" s="20" t="s">
        <v>10</v>
      </c>
      <c r="C101" s="85">
        <v>14.9</v>
      </c>
      <c r="D101" s="85">
        <v>10.034</v>
      </c>
      <c r="E101" s="85">
        <v>6.878</v>
      </c>
      <c r="F101" s="85">
        <v>7.5</v>
      </c>
      <c r="G101" s="85">
        <f>F101*105.1/100</f>
        <v>7.8825</v>
      </c>
      <c r="H101" s="85">
        <f>G101*105.8/100</f>
        <v>8.339685000000001</v>
      </c>
      <c r="I101" s="85">
        <f>H101*105.3/100</f>
        <v>8.781688305000001</v>
      </c>
    </row>
    <row r="102" spans="1:9" ht="38.25" hidden="1">
      <c r="A102" s="8" t="s">
        <v>240</v>
      </c>
      <c r="B102" s="20" t="s">
        <v>11</v>
      </c>
      <c r="C102" s="16"/>
      <c r="D102" s="16"/>
      <c r="E102" s="16"/>
      <c r="F102" s="16"/>
      <c r="G102" s="16"/>
      <c r="H102" s="16"/>
      <c r="I102" s="16"/>
    </row>
    <row r="103" spans="1:9" ht="15.75" hidden="1">
      <c r="A103" s="41" t="s">
        <v>242</v>
      </c>
      <c r="B103" s="39" t="s">
        <v>243</v>
      </c>
      <c r="C103" s="16"/>
      <c r="D103" s="16"/>
      <c r="E103" s="16"/>
      <c r="F103" s="16"/>
      <c r="G103" s="16"/>
      <c r="H103" s="16"/>
      <c r="I103" s="16"/>
    </row>
    <row r="104" spans="1:9" ht="32.25" hidden="1" thickBot="1">
      <c r="A104" s="14" t="s">
        <v>241</v>
      </c>
      <c r="B104" s="21" t="s">
        <v>12</v>
      </c>
      <c r="C104" s="16"/>
      <c r="D104" s="16"/>
      <c r="E104" s="16"/>
      <c r="F104" s="16"/>
      <c r="G104" s="16"/>
      <c r="H104" s="16"/>
      <c r="I104" s="16"/>
    </row>
    <row r="105" spans="1:9" s="31" customFormat="1" ht="18.75">
      <c r="A105" s="150" t="s">
        <v>60</v>
      </c>
      <c r="B105" s="151"/>
      <c r="C105" s="151"/>
      <c r="D105" s="151"/>
      <c r="E105" s="151"/>
      <c r="F105" s="151"/>
      <c r="G105" s="151"/>
      <c r="H105" s="151"/>
      <c r="I105" s="151"/>
    </row>
    <row r="106" spans="1:9" s="24" customFormat="1" ht="15.75">
      <c r="A106" s="141" t="s">
        <v>91</v>
      </c>
      <c r="B106" s="142"/>
      <c r="C106" s="142"/>
      <c r="D106" s="142"/>
      <c r="E106" s="142"/>
      <c r="F106" s="142"/>
      <c r="G106" s="142"/>
      <c r="H106" s="142"/>
      <c r="I106" s="143"/>
    </row>
    <row r="107" spans="1:9" ht="23.25" customHeight="1">
      <c r="A107" s="144" t="s">
        <v>143</v>
      </c>
      <c r="B107" s="145"/>
      <c r="C107" s="145"/>
      <c r="D107" s="145"/>
      <c r="E107" s="145"/>
      <c r="F107" s="145"/>
      <c r="G107" s="145"/>
      <c r="H107" s="145"/>
      <c r="I107" s="146"/>
    </row>
    <row r="108" spans="1:9" ht="25.5">
      <c r="A108" s="17" t="s">
        <v>82</v>
      </c>
      <c r="B108" s="20" t="s">
        <v>7</v>
      </c>
      <c r="C108" s="105">
        <f>C111+C114</f>
        <v>26.1</v>
      </c>
      <c r="D108" s="105">
        <f>D121+D124+D127</f>
        <v>32.6</v>
      </c>
      <c r="E108" s="105">
        <v>36.053</v>
      </c>
      <c r="F108" s="105">
        <f>F111+F114</f>
        <v>38.8</v>
      </c>
      <c r="G108" s="105">
        <f>G121+G124+G127</f>
        <v>40.0804</v>
      </c>
      <c r="H108" s="105">
        <f>H121+H124+H127</f>
        <v>42.525304399999996</v>
      </c>
      <c r="I108" s="105">
        <f>I121+I124+I127</f>
        <v>45.11934796839999</v>
      </c>
    </row>
    <row r="109" spans="1:9" ht="25.5">
      <c r="A109" s="17" t="s">
        <v>83</v>
      </c>
      <c r="B109" s="20" t="s">
        <v>5</v>
      </c>
      <c r="C109" s="43">
        <v>100.2</v>
      </c>
      <c r="D109" s="42">
        <f>D108/1.024/C108*100</f>
        <v>121.97677203065133</v>
      </c>
      <c r="E109" s="42">
        <f>E108/1.093/D108*100</f>
        <v>101.18209015542294</v>
      </c>
      <c r="F109" s="42">
        <f>F108/1.103/E108*100</f>
        <v>97.56966291617766</v>
      </c>
      <c r="G109" s="42">
        <f>G108/1.052/F108*100</f>
        <v>98.1939163498099</v>
      </c>
      <c r="H109" s="42">
        <f>H108/1.05/G108*100</f>
        <v>101.04761904761904</v>
      </c>
      <c r="I109" s="42">
        <f>I108/1.055/H108*100</f>
        <v>100.5687203791469</v>
      </c>
    </row>
    <row r="110" spans="1:9" ht="15.75">
      <c r="A110" s="37" t="s">
        <v>144</v>
      </c>
      <c r="B110" s="20"/>
      <c r="C110" s="48"/>
      <c r="D110" s="105"/>
      <c r="E110" s="48"/>
      <c r="F110" s="48"/>
      <c r="G110" s="48"/>
      <c r="H110" s="48"/>
      <c r="I110" s="48"/>
    </row>
    <row r="111" spans="1:9" ht="31.5">
      <c r="A111" s="55" t="s">
        <v>82</v>
      </c>
      <c r="B111" s="20" t="s">
        <v>7</v>
      </c>
      <c r="C111" s="105">
        <v>7.5</v>
      </c>
      <c r="D111" s="105">
        <v>10.3</v>
      </c>
      <c r="E111" s="105">
        <v>11.423</v>
      </c>
      <c r="F111" s="105">
        <v>11.5</v>
      </c>
      <c r="G111" s="105">
        <f>F111*100.1/100</f>
        <v>11.511499999999998</v>
      </c>
      <c r="H111" s="105">
        <f>G111*107/100</f>
        <v>12.317305</v>
      </c>
      <c r="I111" s="105">
        <f>H111*107/100</f>
        <v>13.179516349999998</v>
      </c>
    </row>
    <row r="112" spans="1:9" ht="31.5">
      <c r="A112" s="55" t="s">
        <v>83</v>
      </c>
      <c r="B112" s="20" t="s">
        <v>5</v>
      </c>
      <c r="C112" s="43">
        <v>97.1</v>
      </c>
      <c r="D112" s="42">
        <f>D111/0.971/C111*100</f>
        <v>141.43494679025062</v>
      </c>
      <c r="E112" s="42">
        <f>E111/1.139/D111*100</f>
        <v>97.36866779750589</v>
      </c>
      <c r="F112" s="42">
        <f>F111/1.055/E111*100</f>
        <v>95.42566693206066</v>
      </c>
      <c r="G112" s="42">
        <f>G111/1.038/F111*100</f>
        <v>96.43545279383427</v>
      </c>
      <c r="H112" s="42">
        <f>H111/1.048/G111*100</f>
        <v>102.09923664122138</v>
      </c>
      <c r="I112" s="42">
        <f>I111/1.046/H111*100</f>
        <v>102.29445506692159</v>
      </c>
    </row>
    <row r="113" spans="1:9" ht="15.75">
      <c r="A113" s="37" t="s">
        <v>145</v>
      </c>
      <c r="B113" s="20"/>
      <c r="C113" s="48"/>
      <c r="D113" s="48"/>
      <c r="E113" s="48"/>
      <c r="F113" s="48"/>
      <c r="G113" s="48"/>
      <c r="H113" s="48"/>
      <c r="I113" s="48"/>
    </row>
    <row r="114" spans="1:9" ht="25.5">
      <c r="A114" s="37" t="s">
        <v>82</v>
      </c>
      <c r="B114" s="20" t="s">
        <v>7</v>
      </c>
      <c r="C114" s="105">
        <v>18.6</v>
      </c>
      <c r="D114" s="105">
        <v>22.3</v>
      </c>
      <c r="E114" s="105">
        <v>24.63</v>
      </c>
      <c r="F114" s="105">
        <v>27.3</v>
      </c>
      <c r="G114" s="105">
        <v>28.568</v>
      </c>
      <c r="H114" s="105">
        <v>30.208</v>
      </c>
      <c r="I114" s="105">
        <v>31.939</v>
      </c>
    </row>
    <row r="115" spans="1:9" ht="25.5">
      <c r="A115" s="37" t="s">
        <v>83</v>
      </c>
      <c r="B115" s="20" t="s">
        <v>5</v>
      </c>
      <c r="C115" s="43">
        <v>102.6</v>
      </c>
      <c r="D115" s="42">
        <f>D114/1.082/C114*100</f>
        <v>110.80635223500883</v>
      </c>
      <c r="E115" s="42">
        <f>E114/1.062/D114*100</f>
        <v>104.00040536089787</v>
      </c>
      <c r="F115" s="42">
        <f>F114/1.106/E114*100</f>
        <v>100.21739465610015</v>
      </c>
      <c r="G115" s="42">
        <f>G114/1.063/F114*100</f>
        <v>98.4427927043167</v>
      </c>
      <c r="H115" s="42">
        <f>H114/1.052/G114*100</f>
        <v>100.51396281622233</v>
      </c>
      <c r="I115" s="42">
        <f>I114/1.049/H114*100</f>
        <v>100.79148725178135</v>
      </c>
    </row>
    <row r="116" spans="1:9" ht="21" customHeight="1">
      <c r="A116" s="144" t="s">
        <v>146</v>
      </c>
      <c r="B116" s="145"/>
      <c r="C116" s="145"/>
      <c r="D116" s="145"/>
      <c r="E116" s="145"/>
      <c r="F116" s="145"/>
      <c r="G116" s="145"/>
      <c r="H116" s="145"/>
      <c r="I116" s="146"/>
    </row>
    <row r="117" spans="1:9" ht="25.5">
      <c r="A117" s="17" t="s">
        <v>82</v>
      </c>
      <c r="B117" s="20" t="s">
        <v>7</v>
      </c>
      <c r="C117" s="105">
        <v>67</v>
      </c>
      <c r="D117" s="105">
        <v>65.3</v>
      </c>
      <c r="E117" s="105">
        <v>71.35</v>
      </c>
      <c r="F117" s="105">
        <v>75</v>
      </c>
      <c r="G117" s="105">
        <f>F117*106.8/100</f>
        <v>80.1</v>
      </c>
      <c r="H117" s="105">
        <f>G117*106.8/100</f>
        <v>85.54679999999999</v>
      </c>
      <c r="I117" s="105">
        <f>H117*105.6/100</f>
        <v>90.33742079999998</v>
      </c>
    </row>
    <row r="118" spans="1:9" ht="25.5">
      <c r="A118" s="17" t="s">
        <v>83</v>
      </c>
      <c r="B118" s="20" t="s">
        <v>5</v>
      </c>
      <c r="C118" s="43">
        <v>129.6</v>
      </c>
      <c r="D118" s="42">
        <v>119</v>
      </c>
      <c r="E118" s="42">
        <f>E117/1.076/D117*100</f>
        <v>101.54733372424667</v>
      </c>
      <c r="F118" s="42">
        <f>F117/1.075/E117*100</f>
        <v>97.78197878131061</v>
      </c>
      <c r="G118" s="42">
        <f>G117/1.051/F117*100</f>
        <v>101.61750713606088</v>
      </c>
      <c r="H118" s="42">
        <f>H117/1.058/G117*100</f>
        <v>100.94517958412096</v>
      </c>
      <c r="I118" s="42">
        <f>I117/1.053/H117*100</f>
        <v>100.28490028490029</v>
      </c>
    </row>
    <row r="119" spans="1:10" ht="21.75" customHeight="1">
      <c r="A119" s="147" t="s">
        <v>16</v>
      </c>
      <c r="B119" s="148"/>
      <c r="C119" s="148"/>
      <c r="D119" s="148"/>
      <c r="E119" s="148"/>
      <c r="F119" s="148"/>
      <c r="G119" s="148"/>
      <c r="H119" s="148"/>
      <c r="I119" s="149"/>
      <c r="J119" s="7"/>
    </row>
    <row r="120" spans="1:10" ht="24" customHeight="1">
      <c r="A120" s="178" t="s">
        <v>104</v>
      </c>
      <c r="B120" s="179"/>
      <c r="C120" s="179"/>
      <c r="D120" s="179"/>
      <c r="E120" s="179"/>
      <c r="F120" s="179"/>
      <c r="G120" s="179"/>
      <c r="H120" s="179"/>
      <c r="I120" s="180"/>
      <c r="J120" s="7"/>
    </row>
    <row r="121" spans="1:9" ht="25.5">
      <c r="A121" s="17" t="s">
        <v>2</v>
      </c>
      <c r="B121" s="20" t="s">
        <v>7</v>
      </c>
      <c r="C121" s="105">
        <v>6</v>
      </c>
      <c r="D121" s="105">
        <v>8.8</v>
      </c>
      <c r="E121" s="105">
        <v>9.1</v>
      </c>
      <c r="F121" s="105">
        <v>10</v>
      </c>
      <c r="G121" s="105">
        <f>F121*103.3/100</f>
        <v>10.33</v>
      </c>
      <c r="H121" s="105">
        <f>G121*106.1/100</f>
        <v>10.96013</v>
      </c>
      <c r="I121" s="105">
        <f>H121*106.1/100</f>
        <v>11.628697929999998</v>
      </c>
    </row>
    <row r="122" spans="1:9" ht="25.5">
      <c r="A122" s="17" t="s">
        <v>14</v>
      </c>
      <c r="B122" s="20" t="s">
        <v>5</v>
      </c>
      <c r="C122" s="43">
        <v>110.1</v>
      </c>
      <c r="D122" s="42">
        <f>D121/1.024/C121*100</f>
        <v>143.22916666666669</v>
      </c>
      <c r="E122" s="42">
        <f>E121/1.093/D121*100</f>
        <v>94.61033020044914</v>
      </c>
      <c r="F122" s="42">
        <f>F121/1.103/E121*100</f>
        <v>99.62838611977325</v>
      </c>
      <c r="G122" s="42">
        <f>G121/1.052/F121*100</f>
        <v>98.19391634980988</v>
      </c>
      <c r="H122" s="42">
        <f>H121/1.05/G121*100</f>
        <v>101.04761904761904</v>
      </c>
      <c r="I122" s="42">
        <f>I121/1.048/H121*100</f>
        <v>101.24045801526715</v>
      </c>
    </row>
    <row r="123" spans="1:9" ht="24.75" customHeight="1">
      <c r="A123" s="178" t="s">
        <v>105</v>
      </c>
      <c r="B123" s="179"/>
      <c r="C123" s="179"/>
      <c r="D123" s="179"/>
      <c r="E123" s="179"/>
      <c r="F123" s="179"/>
      <c r="G123" s="179"/>
      <c r="H123" s="179"/>
      <c r="I123" s="180"/>
    </row>
    <row r="124" spans="1:9" ht="25.5">
      <c r="A124" s="17" t="s">
        <v>2</v>
      </c>
      <c r="B124" s="20" t="s">
        <v>7</v>
      </c>
      <c r="C124" s="106">
        <v>5.6</v>
      </c>
      <c r="D124" s="106">
        <v>6.5</v>
      </c>
      <c r="E124" s="106">
        <v>7.5</v>
      </c>
      <c r="F124" s="106">
        <v>7.5</v>
      </c>
      <c r="G124" s="106">
        <f>F124*103.3/100</f>
        <v>7.7475</v>
      </c>
      <c r="H124" s="106">
        <f>G124*106.1/100</f>
        <v>8.2200975</v>
      </c>
      <c r="I124" s="106">
        <f>H124*106.1/100</f>
        <v>8.7215234475</v>
      </c>
    </row>
    <row r="125" spans="1:9" ht="25.5">
      <c r="A125" s="17" t="s">
        <v>14</v>
      </c>
      <c r="B125" s="20" t="s">
        <v>5</v>
      </c>
      <c r="C125" s="107">
        <v>92.5</v>
      </c>
      <c r="D125" s="108">
        <f>D124/1.024/C124*100</f>
        <v>113.35100446428572</v>
      </c>
      <c r="E125" s="108">
        <f>E124/1.093/D124*100</f>
        <v>105.566894221972</v>
      </c>
      <c r="F125" s="108">
        <f>F124/1.103/E124*100</f>
        <v>90.66183136899365</v>
      </c>
      <c r="G125" s="108">
        <f>G124/1.052/F124*100</f>
        <v>98.19391634980988</v>
      </c>
      <c r="H125" s="108">
        <f>H124/1.05/G124*100</f>
        <v>101.04761904761905</v>
      </c>
      <c r="I125" s="108">
        <f>I124/1.048/H124*100</f>
        <v>101.24045801526718</v>
      </c>
    </row>
    <row r="126" spans="1:9" ht="19.5" customHeight="1">
      <c r="A126" s="178" t="s">
        <v>106</v>
      </c>
      <c r="B126" s="179"/>
      <c r="C126" s="179"/>
      <c r="D126" s="179"/>
      <c r="E126" s="179"/>
      <c r="F126" s="179"/>
      <c r="G126" s="179"/>
      <c r="H126" s="179"/>
      <c r="I126" s="180"/>
    </row>
    <row r="127" spans="1:9" ht="25.5">
      <c r="A127" s="17" t="s">
        <v>2</v>
      </c>
      <c r="B127" s="20" t="s">
        <v>7</v>
      </c>
      <c r="C127" s="106">
        <v>14.5</v>
      </c>
      <c r="D127" s="106">
        <v>17.3</v>
      </c>
      <c r="E127" s="106">
        <v>19.453</v>
      </c>
      <c r="F127" s="106">
        <v>21.3</v>
      </c>
      <c r="G127" s="106">
        <f>F127*103.3/100</f>
        <v>22.0029</v>
      </c>
      <c r="H127" s="106">
        <f>G127*106.1/100</f>
        <v>23.3450769</v>
      </c>
      <c r="I127" s="106">
        <f>H127*106.1/100</f>
        <v>24.769126590899997</v>
      </c>
    </row>
    <row r="128" spans="1:9" ht="25.5">
      <c r="A128" s="17" t="s">
        <v>14</v>
      </c>
      <c r="B128" s="20" t="s">
        <v>5</v>
      </c>
      <c r="C128" s="107">
        <v>99.8</v>
      </c>
      <c r="D128" s="108">
        <f>D127/1.024/C127*100</f>
        <v>116.51400862068965</v>
      </c>
      <c r="E128" s="108">
        <f>E127/1.093/D127*100</f>
        <v>102.87748097456753</v>
      </c>
      <c r="F128" s="108">
        <f>F127/1.103/E127*100</f>
        <v>99.26988167169922</v>
      </c>
      <c r="G128" s="108">
        <f>G127/1.052/F127*100</f>
        <v>98.19391634980988</v>
      </c>
      <c r="H128" s="108">
        <f>H127/1.05/G127*100</f>
        <v>101.04761904761905</v>
      </c>
      <c r="I128" s="108">
        <f>I127/1.048/H127*100</f>
        <v>101.24045801526715</v>
      </c>
    </row>
    <row r="129" spans="1:9" ht="20.25" customHeight="1">
      <c r="A129" s="147" t="s">
        <v>107</v>
      </c>
      <c r="B129" s="148"/>
      <c r="C129" s="148"/>
      <c r="D129" s="148"/>
      <c r="E129" s="148"/>
      <c r="F129" s="148"/>
      <c r="G129" s="148"/>
      <c r="H129" s="148"/>
      <c r="I129" s="149"/>
    </row>
    <row r="130" spans="1:9" ht="31.5">
      <c r="A130" s="56" t="s">
        <v>17</v>
      </c>
      <c r="B130" s="20" t="s">
        <v>8</v>
      </c>
      <c r="C130" s="109">
        <f>C133+C135</f>
        <v>0.218</v>
      </c>
      <c r="D130" s="109">
        <f>D133+D135</f>
        <v>0.164</v>
      </c>
      <c r="E130" s="109">
        <f>E133+E135</f>
        <v>0.047</v>
      </c>
      <c r="F130" s="109">
        <f>F133+F135</f>
        <v>0.127</v>
      </c>
      <c r="G130" s="106">
        <f>F130*103.8/100</f>
        <v>0.131826</v>
      </c>
      <c r="H130" s="106">
        <f>G130*104.8/100</f>
        <v>0.138153648</v>
      </c>
      <c r="I130" s="106">
        <f>H130*104.6/100</f>
        <v>0.14450871580799998</v>
      </c>
    </row>
    <row r="131" spans="1:9" ht="25.5">
      <c r="A131" s="17"/>
      <c r="B131" s="20" t="s">
        <v>5</v>
      </c>
      <c r="C131" s="108">
        <f>C130/0.271*100</f>
        <v>80.44280442804428</v>
      </c>
      <c r="D131" s="108">
        <f>D130/C130*100</f>
        <v>75.22935779816514</v>
      </c>
      <c r="E131" s="108">
        <f>E130/D130*100</f>
        <v>28.65853658536585</v>
      </c>
      <c r="F131" s="108">
        <f>F130/E130*100</f>
        <v>270.21276595744683</v>
      </c>
      <c r="G131" s="108">
        <f>G134</f>
        <v>103.93700787401573</v>
      </c>
      <c r="H131" s="108">
        <f>H134</f>
        <v>104.54545454545455</v>
      </c>
      <c r="I131" s="108">
        <f>I134</f>
        <v>105.07246376811592</v>
      </c>
    </row>
    <row r="132" spans="1:9" ht="15.75">
      <c r="A132" s="17" t="s">
        <v>13</v>
      </c>
      <c r="B132" s="20"/>
      <c r="C132" s="109"/>
      <c r="D132" s="109"/>
      <c r="E132" s="109"/>
      <c r="F132" s="109"/>
      <c r="G132" s="109"/>
      <c r="H132" s="109"/>
      <c r="I132" s="109"/>
    </row>
    <row r="133" spans="1:9" ht="31.5">
      <c r="A133" s="17" t="s">
        <v>18</v>
      </c>
      <c r="B133" s="20" t="s">
        <v>8</v>
      </c>
      <c r="C133" s="109">
        <v>0.218</v>
      </c>
      <c r="D133" s="109">
        <v>0.164</v>
      </c>
      <c r="E133" s="109">
        <v>0.047</v>
      </c>
      <c r="F133" s="109">
        <v>0.127</v>
      </c>
      <c r="G133" s="106">
        <v>0.132</v>
      </c>
      <c r="H133" s="106">
        <v>0.138</v>
      </c>
      <c r="I133" s="106">
        <v>0.145</v>
      </c>
    </row>
    <row r="134" spans="1:9" ht="25.5">
      <c r="A134" s="17"/>
      <c r="B134" s="20" t="s">
        <v>5</v>
      </c>
      <c r="C134" s="108">
        <f>C133/0.271*100</f>
        <v>80.44280442804428</v>
      </c>
      <c r="D134" s="108">
        <f aca="true" t="shared" si="13" ref="D134:I134">D133/C133*100</f>
        <v>75.22935779816514</v>
      </c>
      <c r="E134" s="108">
        <f t="shared" si="13"/>
        <v>28.65853658536585</v>
      </c>
      <c r="F134" s="108">
        <f t="shared" si="13"/>
        <v>270.21276595744683</v>
      </c>
      <c r="G134" s="108">
        <f t="shared" si="13"/>
        <v>103.93700787401573</v>
      </c>
      <c r="H134" s="108">
        <f t="shared" si="13"/>
        <v>104.54545454545455</v>
      </c>
      <c r="I134" s="108">
        <f t="shared" si="13"/>
        <v>105.07246376811592</v>
      </c>
    </row>
    <row r="135" spans="1:9" ht="31.5">
      <c r="A135" s="17" t="s">
        <v>19</v>
      </c>
      <c r="B135" s="20" t="s">
        <v>8</v>
      </c>
      <c r="C135" s="109"/>
      <c r="D135" s="109"/>
      <c r="E135" s="109"/>
      <c r="F135" s="109"/>
      <c r="G135" s="109"/>
      <c r="H135" s="109"/>
      <c r="I135" s="109"/>
    </row>
    <row r="136" spans="1:9" ht="25.5">
      <c r="A136" s="56"/>
      <c r="B136" s="20" t="s">
        <v>5</v>
      </c>
      <c r="C136" s="109"/>
      <c r="D136" s="109"/>
      <c r="E136" s="109"/>
      <c r="F136" s="109"/>
      <c r="G136" s="109"/>
      <c r="H136" s="109"/>
      <c r="I136" s="109"/>
    </row>
    <row r="137" spans="1:9" ht="15.75">
      <c r="A137" s="56" t="s">
        <v>20</v>
      </c>
      <c r="B137" s="20" t="s">
        <v>8</v>
      </c>
      <c r="C137" s="110">
        <f aca="true" t="shared" si="14" ref="C137:I137">C140+C142+C144</f>
        <v>10.812999999999999</v>
      </c>
      <c r="D137" s="110">
        <f t="shared" si="14"/>
        <v>12.138</v>
      </c>
      <c r="E137" s="110">
        <f t="shared" si="14"/>
        <v>12.100999999999999</v>
      </c>
      <c r="F137" s="106">
        <f t="shared" si="14"/>
        <v>11.818</v>
      </c>
      <c r="G137" s="106">
        <f t="shared" si="14"/>
        <v>12.267084</v>
      </c>
      <c r="H137" s="106">
        <f t="shared" si="14"/>
        <v>12.831369864000001</v>
      </c>
      <c r="I137" s="106">
        <f t="shared" si="14"/>
        <v>13.421612877744</v>
      </c>
    </row>
    <row r="138" spans="1:9" ht="25.5">
      <c r="A138" s="17"/>
      <c r="B138" s="20" t="s">
        <v>5</v>
      </c>
      <c r="C138" s="108">
        <f>C137/11.468*100</f>
        <v>94.28845483083362</v>
      </c>
      <c r="D138" s="108">
        <f aca="true" t="shared" si="15" ref="D138:I138">D137/C137*100</f>
        <v>112.25376861185612</v>
      </c>
      <c r="E138" s="108">
        <f t="shared" si="15"/>
        <v>99.69517218652166</v>
      </c>
      <c r="F138" s="108">
        <f t="shared" si="15"/>
        <v>97.66135030162798</v>
      </c>
      <c r="G138" s="108">
        <f t="shared" si="15"/>
        <v>103.8</v>
      </c>
      <c r="H138" s="108">
        <f t="shared" si="15"/>
        <v>104.60000000000001</v>
      </c>
      <c r="I138" s="108">
        <f t="shared" si="15"/>
        <v>104.59999999999998</v>
      </c>
    </row>
    <row r="139" spans="1:9" ht="15.75">
      <c r="A139" s="17" t="s">
        <v>13</v>
      </c>
      <c r="B139" s="20"/>
      <c r="C139" s="109"/>
      <c r="D139" s="109"/>
      <c r="E139" s="109"/>
      <c r="F139" s="109"/>
      <c r="G139" s="109"/>
      <c r="H139" s="109"/>
      <c r="I139" s="109"/>
    </row>
    <row r="140" spans="1:9" ht="31.5">
      <c r="A140" s="17" t="s">
        <v>18</v>
      </c>
      <c r="B140" s="20" t="s">
        <v>8</v>
      </c>
      <c r="C140" s="109">
        <v>0.341</v>
      </c>
      <c r="D140" s="109">
        <v>0.661</v>
      </c>
      <c r="E140" s="109">
        <v>0.803</v>
      </c>
      <c r="F140" s="106">
        <v>1.188</v>
      </c>
      <c r="G140" s="106">
        <f>F140*103.8/100</f>
        <v>1.233144</v>
      </c>
      <c r="H140" s="106">
        <f>G140*104.6/100</f>
        <v>1.2898686240000001</v>
      </c>
      <c r="I140" s="106">
        <f>H140*104.6/100</f>
        <v>1.349202580704</v>
      </c>
    </row>
    <row r="141" spans="1:9" ht="25.5">
      <c r="A141" s="17"/>
      <c r="B141" s="20" t="s">
        <v>5</v>
      </c>
      <c r="C141" s="108">
        <f>C140/0.59*100</f>
        <v>57.79661016949154</v>
      </c>
      <c r="D141" s="108">
        <f aca="true" t="shared" si="16" ref="D141:I141">D140/C140*100</f>
        <v>193.841642228739</v>
      </c>
      <c r="E141" s="108">
        <f t="shared" si="16"/>
        <v>121.48260211800303</v>
      </c>
      <c r="F141" s="108">
        <f t="shared" si="16"/>
        <v>147.94520547945206</v>
      </c>
      <c r="G141" s="108">
        <f t="shared" si="16"/>
        <v>103.8</v>
      </c>
      <c r="H141" s="108">
        <f t="shared" si="16"/>
        <v>104.60000000000001</v>
      </c>
      <c r="I141" s="108">
        <f t="shared" si="16"/>
        <v>104.59999999999998</v>
      </c>
    </row>
    <row r="142" spans="1:9" ht="31.5">
      <c r="A142" s="17" t="s">
        <v>19</v>
      </c>
      <c r="B142" s="20" t="s">
        <v>8</v>
      </c>
      <c r="C142" s="106">
        <v>0.49</v>
      </c>
      <c r="D142" s="106">
        <v>0.602</v>
      </c>
      <c r="E142" s="106">
        <v>0.579</v>
      </c>
      <c r="F142" s="106">
        <v>0.63</v>
      </c>
      <c r="G142" s="106">
        <f>F142*103.8/100</f>
        <v>0.6539400000000001</v>
      </c>
      <c r="H142" s="106">
        <f>G142*104.6/100</f>
        <v>0.68402124</v>
      </c>
      <c r="I142" s="106">
        <f>H142*104.6/100</f>
        <v>0.71548621704</v>
      </c>
    </row>
    <row r="143" spans="1:9" ht="25.5">
      <c r="A143" s="17"/>
      <c r="B143" s="20" t="s">
        <v>5</v>
      </c>
      <c r="C143" s="108">
        <f>C142/1.058*100</f>
        <v>46.31379962192816</v>
      </c>
      <c r="D143" s="108">
        <f aca="true" t="shared" si="17" ref="D143:I143">D142/C142*100</f>
        <v>122.85714285714286</v>
      </c>
      <c r="E143" s="108">
        <f t="shared" si="17"/>
        <v>96.17940199335547</v>
      </c>
      <c r="F143" s="108">
        <f t="shared" si="17"/>
        <v>108.80829015544042</v>
      </c>
      <c r="G143" s="108">
        <f t="shared" si="17"/>
        <v>103.8</v>
      </c>
      <c r="H143" s="108">
        <f t="shared" si="17"/>
        <v>104.59999999999998</v>
      </c>
      <c r="I143" s="108">
        <f t="shared" si="17"/>
        <v>104.60000000000001</v>
      </c>
    </row>
    <row r="144" spans="1:9" ht="15.75">
      <c r="A144" s="17" t="s">
        <v>21</v>
      </c>
      <c r="B144" s="20" t="s">
        <v>8</v>
      </c>
      <c r="C144" s="106">
        <v>9.982</v>
      </c>
      <c r="D144" s="106">
        <v>10.875</v>
      </c>
      <c r="E144" s="106">
        <v>10.719</v>
      </c>
      <c r="F144" s="106">
        <v>10</v>
      </c>
      <c r="G144" s="106">
        <f>F144*103.8/100</f>
        <v>10.38</v>
      </c>
      <c r="H144" s="106">
        <f>G144*104.6/100</f>
        <v>10.85748</v>
      </c>
      <c r="I144" s="106">
        <f>H144*104.6/100</f>
        <v>11.35692408</v>
      </c>
    </row>
    <row r="145" spans="1:9" ht="25.5">
      <c r="A145" s="17"/>
      <c r="B145" s="20" t="s">
        <v>5</v>
      </c>
      <c r="C145" s="108">
        <f>C144/9.82*100</f>
        <v>101.64969450101833</v>
      </c>
      <c r="D145" s="108">
        <f aca="true" t="shared" si="18" ref="D145:I145">D144/C144*100</f>
        <v>108.94610298537368</v>
      </c>
      <c r="E145" s="108">
        <f t="shared" si="18"/>
        <v>98.56551724137931</v>
      </c>
      <c r="F145" s="108">
        <f t="shared" si="18"/>
        <v>93.292284728053</v>
      </c>
      <c r="G145" s="108">
        <f t="shared" si="18"/>
        <v>103.8</v>
      </c>
      <c r="H145" s="108">
        <f t="shared" si="18"/>
        <v>104.60000000000001</v>
      </c>
      <c r="I145" s="108">
        <f t="shared" si="18"/>
        <v>104.60000000000001</v>
      </c>
    </row>
    <row r="146" spans="1:9" ht="15.75">
      <c r="A146" s="56" t="s">
        <v>22</v>
      </c>
      <c r="B146" s="20" t="s">
        <v>8</v>
      </c>
      <c r="C146" s="110">
        <f aca="true" t="shared" si="19" ref="C146:I146">C149+C151+C153</f>
        <v>4.042</v>
      </c>
      <c r="D146" s="110">
        <f t="shared" si="19"/>
        <v>4.036</v>
      </c>
      <c r="E146" s="110">
        <f t="shared" si="19"/>
        <v>3.569</v>
      </c>
      <c r="F146" s="106">
        <f t="shared" si="19"/>
        <v>4.05</v>
      </c>
      <c r="G146" s="106">
        <f t="shared" si="19"/>
        <v>4.2039</v>
      </c>
      <c r="H146" s="106">
        <f t="shared" si="19"/>
        <v>4.3972793999999995</v>
      </c>
      <c r="I146" s="106">
        <f t="shared" si="19"/>
        <v>4.5995542524</v>
      </c>
    </row>
    <row r="147" spans="1:9" ht="25.5">
      <c r="A147" s="17"/>
      <c r="B147" s="20" t="s">
        <v>5</v>
      </c>
      <c r="C147" s="108">
        <f>C146/3.792*100</f>
        <v>106.59282700421942</v>
      </c>
      <c r="D147" s="108">
        <f aca="true" t="shared" si="20" ref="D147:I147">D146/C146*100</f>
        <v>99.85155863433943</v>
      </c>
      <c r="E147" s="108">
        <f t="shared" si="20"/>
        <v>88.42913776015858</v>
      </c>
      <c r="F147" s="108">
        <f t="shared" si="20"/>
        <v>113.47716447184084</v>
      </c>
      <c r="G147" s="108">
        <f t="shared" si="20"/>
        <v>103.8</v>
      </c>
      <c r="H147" s="108">
        <f t="shared" si="20"/>
        <v>104.59999999999998</v>
      </c>
      <c r="I147" s="108">
        <f t="shared" si="20"/>
        <v>104.60000000000001</v>
      </c>
    </row>
    <row r="148" spans="1:9" ht="15.75">
      <c r="A148" s="17" t="s">
        <v>13</v>
      </c>
      <c r="B148" s="20"/>
      <c r="C148" s="109"/>
      <c r="D148" s="109"/>
      <c r="E148" s="109"/>
      <c r="F148" s="109"/>
      <c r="G148" s="109"/>
      <c r="H148" s="109"/>
      <c r="I148" s="109"/>
    </row>
    <row r="149" spans="1:9" ht="31.5">
      <c r="A149" s="17" t="s">
        <v>18</v>
      </c>
      <c r="B149" s="20" t="s">
        <v>8</v>
      </c>
      <c r="C149" s="109">
        <v>0.007</v>
      </c>
      <c r="D149" s="109"/>
      <c r="E149" s="109"/>
      <c r="F149" s="109"/>
      <c r="G149" s="109"/>
      <c r="H149" s="109"/>
      <c r="I149" s="109"/>
    </row>
    <row r="150" spans="1:9" ht="25.5">
      <c r="A150" s="17"/>
      <c r="B150" s="20" t="s">
        <v>5</v>
      </c>
      <c r="C150" s="108">
        <f>C149/0.004*100</f>
        <v>175</v>
      </c>
      <c r="D150" s="108"/>
      <c r="E150" s="109"/>
      <c r="F150" s="108"/>
      <c r="G150" s="108"/>
      <c r="H150" s="108"/>
      <c r="I150" s="108"/>
    </row>
    <row r="151" spans="1:9" ht="31.5">
      <c r="A151" s="17" t="s">
        <v>19</v>
      </c>
      <c r="B151" s="20" t="s">
        <v>8</v>
      </c>
      <c r="C151" s="106">
        <v>0.445</v>
      </c>
      <c r="D151" s="106">
        <v>0.475</v>
      </c>
      <c r="E151" s="106">
        <v>0.126</v>
      </c>
      <c r="F151" s="106">
        <v>0.45</v>
      </c>
      <c r="G151" s="106">
        <f>F151*103.8/100</f>
        <v>0.4671</v>
      </c>
      <c r="H151" s="106">
        <f>G151*104.6/100</f>
        <v>0.4885866</v>
      </c>
      <c r="I151" s="106">
        <f>H151*104.6/100</f>
        <v>0.5110615836</v>
      </c>
    </row>
    <row r="152" spans="1:9" ht="25.5">
      <c r="A152" s="17"/>
      <c r="B152" s="20" t="s">
        <v>5</v>
      </c>
      <c r="C152" s="108">
        <f>C151/0.247*100</f>
        <v>180.16194331983806</v>
      </c>
      <c r="D152" s="108">
        <f aca="true" t="shared" si="21" ref="D152:I152">D151/C151*100</f>
        <v>106.74157303370787</v>
      </c>
      <c r="E152" s="108">
        <f t="shared" si="21"/>
        <v>26.526315789473685</v>
      </c>
      <c r="F152" s="108">
        <f t="shared" si="21"/>
        <v>357.14285714285717</v>
      </c>
      <c r="G152" s="108">
        <f t="shared" si="21"/>
        <v>103.8</v>
      </c>
      <c r="H152" s="108">
        <f t="shared" si="21"/>
        <v>104.59999999999998</v>
      </c>
      <c r="I152" s="108">
        <f t="shared" si="21"/>
        <v>104.60000000000001</v>
      </c>
    </row>
    <row r="153" spans="1:9" ht="15.75">
      <c r="A153" s="17" t="s">
        <v>21</v>
      </c>
      <c r="B153" s="20" t="s">
        <v>8</v>
      </c>
      <c r="C153" s="106">
        <v>3.59</v>
      </c>
      <c r="D153" s="106">
        <v>3.561</v>
      </c>
      <c r="E153" s="106">
        <v>3.443</v>
      </c>
      <c r="F153" s="106">
        <v>3.6</v>
      </c>
      <c r="G153" s="106">
        <f>F153*103.8/100</f>
        <v>3.7368</v>
      </c>
      <c r="H153" s="106">
        <f>G153*104.6/100</f>
        <v>3.9086928</v>
      </c>
      <c r="I153" s="106">
        <f>H153*104.6/100</f>
        <v>4.0884926688</v>
      </c>
    </row>
    <row r="154" spans="1:9" ht="25.5">
      <c r="A154" s="17"/>
      <c r="B154" s="20" t="s">
        <v>5</v>
      </c>
      <c r="C154" s="108">
        <f>C153/3.541*100</f>
        <v>101.3837898898616</v>
      </c>
      <c r="D154" s="108">
        <f aca="true" t="shared" si="22" ref="D154:I154">D153/C153*100</f>
        <v>99.19220055710308</v>
      </c>
      <c r="E154" s="108">
        <f t="shared" si="22"/>
        <v>96.68632406627353</v>
      </c>
      <c r="F154" s="108">
        <f t="shared" si="22"/>
        <v>104.55997676444962</v>
      </c>
      <c r="G154" s="108">
        <f t="shared" si="22"/>
        <v>103.8</v>
      </c>
      <c r="H154" s="108">
        <f t="shared" si="22"/>
        <v>104.59999999999998</v>
      </c>
      <c r="I154" s="108">
        <f t="shared" si="22"/>
        <v>104.60000000000001</v>
      </c>
    </row>
    <row r="155" spans="1:9" ht="31.5">
      <c r="A155" s="56" t="s">
        <v>211</v>
      </c>
      <c r="B155" s="20" t="s">
        <v>8</v>
      </c>
      <c r="C155" s="106">
        <f aca="true" t="shared" si="23" ref="C155:I155">C158+C160+C162</f>
        <v>0.809</v>
      </c>
      <c r="D155" s="109">
        <f t="shared" si="23"/>
        <v>0.628</v>
      </c>
      <c r="E155" s="109">
        <f t="shared" si="23"/>
        <v>0.865</v>
      </c>
      <c r="F155" s="106">
        <f t="shared" si="23"/>
        <v>0.8200000000000001</v>
      </c>
      <c r="G155" s="106">
        <f t="shared" si="23"/>
        <v>0.8716599999999999</v>
      </c>
      <c r="H155" s="106">
        <f t="shared" si="23"/>
        <v>0.9169863199999999</v>
      </c>
      <c r="I155" s="106">
        <f t="shared" si="23"/>
        <v>0.9619186496799998</v>
      </c>
    </row>
    <row r="156" spans="1:9" ht="25.5">
      <c r="A156" s="17"/>
      <c r="B156" s="20" t="s">
        <v>5</v>
      </c>
      <c r="C156" s="108">
        <f>C155/0.983*100</f>
        <v>82.29908443540184</v>
      </c>
      <c r="D156" s="108">
        <f aca="true" t="shared" si="24" ref="D156:I156">D155/C155*100</f>
        <v>77.62669962917181</v>
      </c>
      <c r="E156" s="108">
        <f t="shared" si="24"/>
        <v>137.7388535031847</v>
      </c>
      <c r="F156" s="108">
        <f t="shared" si="24"/>
        <v>94.79768786127168</v>
      </c>
      <c r="G156" s="108">
        <f t="shared" si="24"/>
        <v>106.29999999999997</v>
      </c>
      <c r="H156" s="108">
        <f t="shared" si="24"/>
        <v>105.2</v>
      </c>
      <c r="I156" s="108">
        <f t="shared" si="24"/>
        <v>104.89999999999999</v>
      </c>
    </row>
    <row r="157" spans="1:9" ht="15.75">
      <c r="A157" s="17" t="s">
        <v>13</v>
      </c>
      <c r="B157" s="20"/>
      <c r="C157" s="109"/>
      <c r="D157" s="109"/>
      <c r="E157" s="109"/>
      <c r="F157" s="109"/>
      <c r="G157" s="109"/>
      <c r="H157" s="109"/>
      <c r="I157" s="109"/>
    </row>
    <row r="158" spans="1:9" ht="31.5">
      <c r="A158" s="17" t="s">
        <v>18</v>
      </c>
      <c r="B158" s="20" t="s">
        <v>8</v>
      </c>
      <c r="C158" s="106">
        <v>0.041</v>
      </c>
      <c r="D158" s="106">
        <v>0.016</v>
      </c>
      <c r="E158" s="106">
        <v>0.006</v>
      </c>
      <c r="F158" s="106">
        <v>0.04</v>
      </c>
      <c r="G158" s="106">
        <f>F158*106.3/100</f>
        <v>0.042519999999999995</v>
      </c>
      <c r="H158" s="106">
        <f>G158*105.2/100</f>
        <v>0.04473103999999999</v>
      </c>
      <c r="I158" s="106">
        <f>H158*104.9/100</f>
        <v>0.04692286095999999</v>
      </c>
    </row>
    <row r="159" spans="1:9" ht="25.5">
      <c r="A159" s="17"/>
      <c r="B159" s="20" t="s">
        <v>5</v>
      </c>
      <c r="C159" s="108">
        <f>C158/0.04*100</f>
        <v>102.49999999999999</v>
      </c>
      <c r="D159" s="108">
        <f aca="true" t="shared" si="25" ref="D159:I159">D158/C158*100</f>
        <v>39.02439024390244</v>
      </c>
      <c r="E159" s="108">
        <f t="shared" si="25"/>
        <v>37.5</v>
      </c>
      <c r="F159" s="108">
        <f t="shared" si="25"/>
        <v>666.6666666666667</v>
      </c>
      <c r="G159" s="108">
        <f t="shared" si="25"/>
        <v>106.3</v>
      </c>
      <c r="H159" s="108">
        <f t="shared" si="25"/>
        <v>105.2</v>
      </c>
      <c r="I159" s="108">
        <f t="shared" si="25"/>
        <v>104.89999999999999</v>
      </c>
    </row>
    <row r="160" spans="1:9" ht="31.5">
      <c r="A160" s="17" t="s">
        <v>19</v>
      </c>
      <c r="B160" s="20" t="s">
        <v>8</v>
      </c>
      <c r="C160" s="106">
        <v>0.015</v>
      </c>
      <c r="D160" s="106">
        <v>0.016</v>
      </c>
      <c r="E160" s="106">
        <v>0.03</v>
      </c>
      <c r="F160" s="106">
        <v>0.03</v>
      </c>
      <c r="G160" s="106">
        <f>F160*106.3/100</f>
        <v>0.031889999999999995</v>
      </c>
      <c r="H160" s="106">
        <f>G160*105.2/100</f>
        <v>0.03354827999999999</v>
      </c>
      <c r="I160" s="106">
        <f>H160*104.9/100</f>
        <v>0.03519214572</v>
      </c>
    </row>
    <row r="161" spans="1:9" ht="25.5">
      <c r="A161" s="17"/>
      <c r="B161" s="20" t="s">
        <v>5</v>
      </c>
      <c r="C161" s="108">
        <f>C160/0.032*100</f>
        <v>46.875</v>
      </c>
      <c r="D161" s="108">
        <f aca="true" t="shared" si="26" ref="D161:I161">D160/C160*100</f>
        <v>106.66666666666667</v>
      </c>
      <c r="E161" s="108">
        <f t="shared" si="26"/>
        <v>187.5</v>
      </c>
      <c r="F161" s="108">
        <f t="shared" si="26"/>
        <v>100</v>
      </c>
      <c r="G161" s="108">
        <f t="shared" si="26"/>
        <v>106.3</v>
      </c>
      <c r="H161" s="108">
        <f t="shared" si="26"/>
        <v>105.2</v>
      </c>
      <c r="I161" s="108">
        <f t="shared" si="26"/>
        <v>104.90000000000002</v>
      </c>
    </row>
    <row r="162" spans="1:9" ht="15.75">
      <c r="A162" s="17" t="s">
        <v>21</v>
      </c>
      <c r="B162" s="20" t="s">
        <v>8</v>
      </c>
      <c r="C162" s="106">
        <v>0.753</v>
      </c>
      <c r="D162" s="106">
        <v>0.596</v>
      </c>
      <c r="E162" s="106">
        <v>0.829</v>
      </c>
      <c r="F162" s="106">
        <v>0.75</v>
      </c>
      <c r="G162" s="106">
        <f>F162*106.3/100</f>
        <v>0.7972499999999999</v>
      </c>
      <c r="H162" s="106">
        <f>G162*105.2/100</f>
        <v>0.8387069999999999</v>
      </c>
      <c r="I162" s="106">
        <f>H162*104.9/100</f>
        <v>0.8798036429999999</v>
      </c>
    </row>
    <row r="163" spans="1:9" ht="25.5">
      <c r="A163" s="17"/>
      <c r="B163" s="20" t="s">
        <v>5</v>
      </c>
      <c r="C163" s="108">
        <f>C162/0.911*100</f>
        <v>82.65642151481887</v>
      </c>
      <c r="D163" s="108">
        <f aca="true" t="shared" si="27" ref="D163:I163">D162/C162*100</f>
        <v>79.15006640106242</v>
      </c>
      <c r="E163" s="108">
        <f t="shared" si="27"/>
        <v>139.0939597315436</v>
      </c>
      <c r="F163" s="108">
        <f t="shared" si="27"/>
        <v>90.47044632086852</v>
      </c>
      <c r="G163" s="108">
        <f t="shared" si="27"/>
        <v>106.3</v>
      </c>
      <c r="H163" s="108">
        <f t="shared" si="27"/>
        <v>105.2</v>
      </c>
      <c r="I163" s="108">
        <f t="shared" si="27"/>
        <v>104.90000000000002</v>
      </c>
    </row>
    <row r="164" spans="1:9" ht="15.75">
      <c r="A164" s="56" t="s">
        <v>23</v>
      </c>
      <c r="B164" s="20" t="s">
        <v>8</v>
      </c>
      <c r="C164" s="106">
        <f aca="true" t="shared" si="28" ref="C164:I164">C167+C169+C171</f>
        <v>4.401</v>
      </c>
      <c r="D164" s="106">
        <f t="shared" si="28"/>
        <v>3.7159999999999997</v>
      </c>
      <c r="E164" s="106">
        <f t="shared" si="28"/>
        <v>4.709</v>
      </c>
      <c r="F164" s="106">
        <f t="shared" si="28"/>
        <v>4.335</v>
      </c>
      <c r="G164" s="106">
        <f t="shared" si="28"/>
        <v>4.608105</v>
      </c>
      <c r="H164" s="106">
        <f t="shared" si="28"/>
        <v>4.8477264600000005</v>
      </c>
      <c r="I164" s="106">
        <f t="shared" si="28"/>
        <v>5.08526505654</v>
      </c>
    </row>
    <row r="165" spans="1:9" ht="25.5">
      <c r="A165" s="17"/>
      <c r="B165" s="20" t="s">
        <v>5</v>
      </c>
      <c r="C165" s="108">
        <f>C164/4.659*100</f>
        <v>94.46233097231166</v>
      </c>
      <c r="D165" s="108">
        <f aca="true" t="shared" si="29" ref="D165:I165">D164/C164*100</f>
        <v>84.43535560099977</v>
      </c>
      <c r="E165" s="108">
        <f t="shared" si="29"/>
        <v>126.72228202368139</v>
      </c>
      <c r="F165" s="108">
        <f t="shared" si="29"/>
        <v>92.057761732852</v>
      </c>
      <c r="G165" s="108">
        <f t="shared" si="29"/>
        <v>106.3</v>
      </c>
      <c r="H165" s="108">
        <f t="shared" si="29"/>
        <v>105.2</v>
      </c>
      <c r="I165" s="108">
        <f t="shared" si="29"/>
        <v>104.89999999999999</v>
      </c>
    </row>
    <row r="166" spans="1:9" ht="15.75">
      <c r="A166" s="17" t="s">
        <v>13</v>
      </c>
      <c r="B166" s="20"/>
      <c r="C166" s="109"/>
      <c r="D166" s="109"/>
      <c r="E166" s="109"/>
      <c r="F166" s="109"/>
      <c r="G166" s="109"/>
      <c r="H166" s="109"/>
      <c r="I166" s="109"/>
    </row>
    <row r="167" spans="1:9" ht="31.5">
      <c r="A167" s="17" t="s">
        <v>18</v>
      </c>
      <c r="B167" s="20" t="s">
        <v>8</v>
      </c>
      <c r="C167" s="106">
        <v>0.208</v>
      </c>
      <c r="D167" s="106">
        <v>0.11</v>
      </c>
      <c r="E167" s="106">
        <v>0.114</v>
      </c>
      <c r="F167" s="106">
        <v>0.2</v>
      </c>
      <c r="G167" s="106">
        <f>F167*106.3/100</f>
        <v>0.2126</v>
      </c>
      <c r="H167" s="106">
        <f>G167*105.2/100</f>
        <v>0.2236552</v>
      </c>
      <c r="I167" s="106">
        <f>H167*104.9/100</f>
        <v>0.2346143048</v>
      </c>
    </row>
    <row r="168" spans="1:9" ht="25.5">
      <c r="A168" s="17"/>
      <c r="B168" s="20" t="s">
        <v>5</v>
      </c>
      <c r="C168" s="108">
        <f>C167/0.282*100</f>
        <v>73.75886524822695</v>
      </c>
      <c r="D168" s="108">
        <f aca="true" t="shared" si="30" ref="D168:I168">D167/C167*100</f>
        <v>52.88461538461539</v>
      </c>
      <c r="E168" s="108">
        <f t="shared" si="30"/>
        <v>103.63636363636364</v>
      </c>
      <c r="F168" s="108">
        <f t="shared" si="30"/>
        <v>175.43859649122808</v>
      </c>
      <c r="G168" s="108">
        <f t="shared" si="30"/>
        <v>106.3</v>
      </c>
      <c r="H168" s="108">
        <f t="shared" si="30"/>
        <v>105.2</v>
      </c>
      <c r="I168" s="108">
        <f t="shared" si="30"/>
        <v>104.89999999999999</v>
      </c>
    </row>
    <row r="169" spans="1:9" ht="31.5">
      <c r="A169" s="17" t="s">
        <v>19</v>
      </c>
      <c r="B169" s="20" t="s">
        <v>8</v>
      </c>
      <c r="C169" s="109">
        <v>0.036</v>
      </c>
      <c r="D169" s="109">
        <v>0.141</v>
      </c>
      <c r="E169" s="109">
        <v>0.063</v>
      </c>
      <c r="F169" s="109">
        <v>0.135</v>
      </c>
      <c r="G169" s="106">
        <f>F169*106.3/100</f>
        <v>0.143505</v>
      </c>
      <c r="H169" s="106">
        <f>G169*105.2/100</f>
        <v>0.15096726</v>
      </c>
      <c r="I169" s="106">
        <f>H169*104.9/100</f>
        <v>0.15836465574</v>
      </c>
    </row>
    <row r="170" spans="1:9" ht="25.5">
      <c r="A170" s="17"/>
      <c r="B170" s="20" t="s">
        <v>5</v>
      </c>
      <c r="C170" s="108">
        <f>C169/0.058*100</f>
        <v>62.06896551724137</v>
      </c>
      <c r="D170" s="108">
        <f aca="true" t="shared" si="31" ref="D170:I170">D169/C169*100</f>
        <v>391.66666666666663</v>
      </c>
      <c r="E170" s="108">
        <f t="shared" si="31"/>
        <v>44.68085106382979</v>
      </c>
      <c r="F170" s="108">
        <f t="shared" si="31"/>
        <v>214.28571428571428</v>
      </c>
      <c r="G170" s="108">
        <f t="shared" si="31"/>
        <v>106.3</v>
      </c>
      <c r="H170" s="108">
        <f t="shared" si="31"/>
        <v>105.2</v>
      </c>
      <c r="I170" s="108">
        <f t="shared" si="31"/>
        <v>104.90000000000002</v>
      </c>
    </row>
    <row r="171" spans="1:9" ht="15.75">
      <c r="A171" s="17" t="s">
        <v>21</v>
      </c>
      <c r="B171" s="20" t="s">
        <v>8</v>
      </c>
      <c r="C171" s="106">
        <v>4.157</v>
      </c>
      <c r="D171" s="106">
        <v>3.465</v>
      </c>
      <c r="E171" s="106">
        <v>4.532</v>
      </c>
      <c r="F171" s="106">
        <v>4</v>
      </c>
      <c r="G171" s="106">
        <f>F171*106.3/100</f>
        <v>4.252</v>
      </c>
      <c r="H171" s="106">
        <f>G171*105.2/100</f>
        <v>4.473104</v>
      </c>
      <c r="I171" s="106">
        <f>H171*104.9/100</f>
        <v>4.692286096</v>
      </c>
    </row>
    <row r="172" spans="1:9" ht="25.5">
      <c r="A172" s="17"/>
      <c r="B172" s="20" t="s">
        <v>5</v>
      </c>
      <c r="C172" s="108">
        <f>C171/4.319*100</f>
        <v>96.24913174345913</v>
      </c>
      <c r="D172" s="108">
        <f aca="true" t="shared" si="32" ref="D172:I172">D171/C171*100</f>
        <v>83.35337984123166</v>
      </c>
      <c r="E172" s="108">
        <f t="shared" si="32"/>
        <v>130.79365079365078</v>
      </c>
      <c r="F172" s="108">
        <f t="shared" si="32"/>
        <v>88.261253309797</v>
      </c>
      <c r="G172" s="108">
        <f t="shared" si="32"/>
        <v>106.3</v>
      </c>
      <c r="H172" s="108">
        <f t="shared" si="32"/>
        <v>105.2</v>
      </c>
      <c r="I172" s="108">
        <f t="shared" si="32"/>
        <v>104.89999999999999</v>
      </c>
    </row>
    <row r="173" spans="1:9" ht="15.75">
      <c r="A173" s="56" t="s">
        <v>24</v>
      </c>
      <c r="B173" s="20" t="s">
        <v>34</v>
      </c>
      <c r="C173" s="106">
        <f>C176+C178+C180</f>
        <v>0.29</v>
      </c>
      <c r="D173" s="109">
        <f>D176+D178+D180</f>
        <v>0.29400000000000004</v>
      </c>
      <c r="E173" s="109">
        <f>E176+E178+E180</f>
        <v>0.35200000000000004</v>
      </c>
      <c r="F173" s="106">
        <f>F176+F178+F180</f>
        <v>0.367</v>
      </c>
      <c r="G173" s="106">
        <f>G178+G180</f>
        <v>0.390121</v>
      </c>
      <c r="H173" s="106">
        <f>H178+H180</f>
        <v>0.410407292</v>
      </c>
      <c r="I173" s="106">
        <f>I178+I180</f>
        <v>0.430517249308</v>
      </c>
    </row>
    <row r="174" spans="1:9" ht="25.5">
      <c r="A174" s="17"/>
      <c r="B174" s="20" t="s">
        <v>5</v>
      </c>
      <c r="C174" s="108">
        <f>C173/0.277*100</f>
        <v>104.69314079422381</v>
      </c>
      <c r="D174" s="108">
        <f>D173/C173*100</f>
        <v>101.37931034482762</v>
      </c>
      <c r="E174" s="108">
        <f>E173/D173*100</f>
        <v>119.72789115646259</v>
      </c>
      <c r="F174" s="106">
        <f>F176+F178+F180</f>
        <v>0.367</v>
      </c>
      <c r="G174" s="108">
        <f>G173/F173*100</f>
        <v>106.3</v>
      </c>
      <c r="H174" s="108">
        <f>H173/G173*100</f>
        <v>105.2</v>
      </c>
      <c r="I174" s="108">
        <f>I173/H173*100</f>
        <v>104.90000000000002</v>
      </c>
    </row>
    <row r="175" spans="1:9" ht="15.75">
      <c r="A175" s="17" t="s">
        <v>13</v>
      </c>
      <c r="B175" s="20"/>
      <c r="C175" s="109"/>
      <c r="D175" s="109"/>
      <c r="E175" s="109"/>
      <c r="F175" s="109"/>
      <c r="G175" s="109"/>
      <c r="H175" s="109"/>
      <c r="I175" s="109"/>
    </row>
    <row r="176" spans="1:9" ht="31.5">
      <c r="A176" s="17" t="s">
        <v>18</v>
      </c>
      <c r="B176" s="20" t="s">
        <v>34</v>
      </c>
      <c r="C176" s="109"/>
      <c r="D176" s="109"/>
      <c r="E176" s="109"/>
      <c r="F176" s="109"/>
      <c r="G176" s="109"/>
      <c r="H176" s="109"/>
      <c r="I176" s="109"/>
    </row>
    <row r="177" spans="1:9" ht="25.5">
      <c r="A177" s="17"/>
      <c r="B177" s="20" t="s">
        <v>5</v>
      </c>
      <c r="C177" s="109"/>
      <c r="D177" s="109"/>
      <c r="E177" s="109"/>
      <c r="F177" s="109"/>
      <c r="G177" s="109"/>
      <c r="H177" s="109"/>
      <c r="I177" s="109"/>
    </row>
    <row r="178" spans="1:9" ht="31.5">
      <c r="A178" s="17" t="s">
        <v>19</v>
      </c>
      <c r="B178" s="20" t="s">
        <v>34</v>
      </c>
      <c r="C178" s="109">
        <v>0.003</v>
      </c>
      <c r="D178" s="109">
        <v>0.013</v>
      </c>
      <c r="E178" s="109">
        <v>0.018</v>
      </c>
      <c r="F178" s="109">
        <v>0.017</v>
      </c>
      <c r="G178" s="106">
        <f>F178*106.3/100</f>
        <v>0.018071</v>
      </c>
      <c r="H178" s="106">
        <f>G178*105.2/100</f>
        <v>0.019010692</v>
      </c>
      <c r="I178" s="106">
        <f>H178*104.9/100</f>
        <v>0.019942215908</v>
      </c>
    </row>
    <row r="179" spans="1:9" ht="25.5">
      <c r="A179" s="17"/>
      <c r="B179" s="20" t="s">
        <v>5</v>
      </c>
      <c r="C179" s="108">
        <f>C178/0.006*100</f>
        <v>50</v>
      </c>
      <c r="D179" s="108">
        <f aca="true" t="shared" si="33" ref="D179:I179">D178/C178*100</f>
        <v>433.3333333333333</v>
      </c>
      <c r="E179" s="108">
        <f t="shared" si="33"/>
        <v>138.46153846153845</v>
      </c>
      <c r="F179" s="108">
        <f t="shared" si="33"/>
        <v>94.44444444444446</v>
      </c>
      <c r="G179" s="108">
        <f t="shared" si="33"/>
        <v>106.3</v>
      </c>
      <c r="H179" s="108">
        <f t="shared" si="33"/>
        <v>105.2</v>
      </c>
      <c r="I179" s="108">
        <f t="shared" si="33"/>
        <v>104.90000000000002</v>
      </c>
    </row>
    <row r="180" spans="1:9" ht="15.75">
      <c r="A180" s="17" t="s">
        <v>21</v>
      </c>
      <c r="B180" s="20" t="s">
        <v>34</v>
      </c>
      <c r="C180" s="106">
        <v>0.287</v>
      </c>
      <c r="D180" s="106">
        <v>0.281</v>
      </c>
      <c r="E180" s="106">
        <v>0.334</v>
      </c>
      <c r="F180" s="106">
        <v>0.35</v>
      </c>
      <c r="G180" s="106">
        <f>F180*106.3/100</f>
        <v>0.37205</v>
      </c>
      <c r="H180" s="106">
        <f>G180*105.2/100</f>
        <v>0.3913966</v>
      </c>
      <c r="I180" s="106">
        <f>H180*104.9/100</f>
        <v>0.4105750334</v>
      </c>
    </row>
    <row r="181" spans="1:9" ht="25.5">
      <c r="A181" s="17"/>
      <c r="B181" s="20" t="s">
        <v>5</v>
      </c>
      <c r="C181" s="108">
        <f>C180/0.267*100</f>
        <v>107.49063670411985</v>
      </c>
      <c r="D181" s="108">
        <f aca="true" t="shared" si="34" ref="D181:I181">D180/C180*100</f>
        <v>97.90940766550524</v>
      </c>
      <c r="E181" s="108">
        <f t="shared" si="34"/>
        <v>118.86120996441281</v>
      </c>
      <c r="F181" s="108">
        <f t="shared" si="34"/>
        <v>104.79041916167664</v>
      </c>
      <c r="G181" s="108">
        <f t="shared" si="34"/>
        <v>106.3</v>
      </c>
      <c r="H181" s="108">
        <f t="shared" si="34"/>
        <v>105.2</v>
      </c>
      <c r="I181" s="108">
        <f t="shared" si="34"/>
        <v>104.90000000000002</v>
      </c>
    </row>
    <row r="182" spans="1:9" ht="28.5" customHeight="1">
      <c r="A182" s="165" t="s">
        <v>25</v>
      </c>
      <c r="B182" s="166"/>
      <c r="C182" s="166"/>
      <c r="D182" s="166"/>
      <c r="E182" s="166"/>
      <c r="F182" s="166"/>
      <c r="G182" s="166"/>
      <c r="H182" s="166"/>
      <c r="I182" s="167"/>
    </row>
    <row r="183" spans="1:9" ht="15.75">
      <c r="A183" s="17" t="s">
        <v>26</v>
      </c>
      <c r="B183" s="20" t="s">
        <v>35</v>
      </c>
      <c r="C183" s="3">
        <v>0.166</v>
      </c>
      <c r="D183" s="3">
        <v>0.162</v>
      </c>
      <c r="E183" s="47">
        <v>0.042</v>
      </c>
      <c r="F183" s="47">
        <v>0.17</v>
      </c>
      <c r="G183" s="47">
        <f>F183*103.8/100</f>
        <v>0.17646</v>
      </c>
      <c r="H183" s="47">
        <f>G183*104.8/100</f>
        <v>0.18493008</v>
      </c>
      <c r="I183" s="47">
        <f>H183*104.6/100</f>
        <v>0.19343686368000002</v>
      </c>
    </row>
    <row r="184" spans="1:9" ht="15.75">
      <c r="A184" s="17" t="s">
        <v>27</v>
      </c>
      <c r="B184" s="20" t="s">
        <v>35</v>
      </c>
      <c r="C184" s="3">
        <v>0.763</v>
      </c>
      <c r="D184" s="47">
        <v>0.775</v>
      </c>
      <c r="E184" s="47">
        <v>0.779</v>
      </c>
      <c r="F184" s="47">
        <v>0.77</v>
      </c>
      <c r="G184" s="47">
        <f>F184*103.8/100</f>
        <v>0.79926</v>
      </c>
      <c r="H184" s="47">
        <f>G184*104.8/100</f>
        <v>0.8376244799999999</v>
      </c>
      <c r="I184" s="47">
        <f>H184*104.6/100</f>
        <v>0.8761552060799999</v>
      </c>
    </row>
    <row r="185" spans="1:9" ht="15.75">
      <c r="A185" s="17" t="s">
        <v>28</v>
      </c>
      <c r="B185" s="20" t="s">
        <v>35</v>
      </c>
      <c r="C185" s="3">
        <v>0.146</v>
      </c>
      <c r="D185" s="47">
        <v>0.143</v>
      </c>
      <c r="E185" s="47">
        <v>0.141</v>
      </c>
      <c r="F185" s="47">
        <v>0.14</v>
      </c>
      <c r="G185" s="47">
        <f>F185*103.8/100</f>
        <v>0.14532</v>
      </c>
      <c r="H185" s="47">
        <f>G185*104.8/100</f>
        <v>0.15229536</v>
      </c>
      <c r="I185" s="47">
        <f>H185*104.6/100</f>
        <v>0.15930094656</v>
      </c>
    </row>
    <row r="186" spans="1:9" ht="26.25" customHeight="1">
      <c r="A186" s="165" t="s">
        <v>108</v>
      </c>
      <c r="B186" s="166"/>
      <c r="C186" s="166"/>
      <c r="D186" s="166"/>
      <c r="E186" s="166"/>
      <c r="F186" s="166"/>
      <c r="G186" s="166"/>
      <c r="H186" s="166"/>
      <c r="I186" s="167"/>
    </row>
    <row r="187" spans="1:9" ht="15.75">
      <c r="A187" s="17" t="s">
        <v>29</v>
      </c>
      <c r="B187" s="20" t="s">
        <v>36</v>
      </c>
      <c r="C187" s="3">
        <v>2.345</v>
      </c>
      <c r="D187" s="3">
        <v>2.327</v>
      </c>
      <c r="E187" s="47">
        <v>2.07</v>
      </c>
      <c r="F187" s="47">
        <v>2.1</v>
      </c>
      <c r="G187" s="47">
        <f>F187*106.3/100</f>
        <v>2.2323</v>
      </c>
      <c r="H187" s="47">
        <f>G187*105.2/100</f>
        <v>2.3483796</v>
      </c>
      <c r="I187" s="47">
        <f>H187*104.9/100</f>
        <v>2.4634502004</v>
      </c>
    </row>
    <row r="188" spans="1:9" ht="15.75">
      <c r="A188" s="17" t="s">
        <v>30</v>
      </c>
      <c r="B188" s="20" t="s">
        <v>36</v>
      </c>
      <c r="C188" s="3">
        <v>1.181</v>
      </c>
      <c r="D188" s="3">
        <v>1.239</v>
      </c>
      <c r="E188" s="47">
        <v>1.105</v>
      </c>
      <c r="F188" s="3">
        <v>1.113</v>
      </c>
      <c r="G188" s="47">
        <f>F188*106.3/100</f>
        <v>1.183119</v>
      </c>
      <c r="H188" s="47">
        <f>G188*105.2/100</f>
        <v>1.2446411880000001</v>
      </c>
      <c r="I188" s="47">
        <f>H188*104.9/100</f>
        <v>1.3056286062120004</v>
      </c>
    </row>
    <row r="189" spans="1:9" ht="15.75">
      <c r="A189" s="17" t="s">
        <v>31</v>
      </c>
      <c r="B189" s="20" t="s">
        <v>36</v>
      </c>
      <c r="C189" s="3">
        <v>0.657</v>
      </c>
      <c r="D189" s="3">
        <v>0.856</v>
      </c>
      <c r="E189" s="47">
        <v>1.12</v>
      </c>
      <c r="F189" s="47">
        <v>0.8</v>
      </c>
      <c r="G189" s="47">
        <f>F189*106.3/100</f>
        <v>0.8504</v>
      </c>
      <c r="H189" s="47">
        <f>G189*105.2/100</f>
        <v>0.8946208</v>
      </c>
      <c r="I189" s="47">
        <f>H189*104.9/100</f>
        <v>0.9384572192</v>
      </c>
    </row>
    <row r="190" spans="1:9" ht="16.5" thickBot="1">
      <c r="A190" s="57" t="s">
        <v>32</v>
      </c>
      <c r="B190" s="21" t="s">
        <v>36</v>
      </c>
      <c r="C190" s="3">
        <v>2.841</v>
      </c>
      <c r="D190" s="3">
        <v>3.024</v>
      </c>
      <c r="E190" s="47">
        <v>3.425</v>
      </c>
      <c r="F190" s="47">
        <v>3.3</v>
      </c>
      <c r="G190" s="47">
        <f>F190*106.3/100</f>
        <v>3.5079</v>
      </c>
      <c r="H190" s="47">
        <f>G190*105.2/100</f>
        <v>3.6903108</v>
      </c>
      <c r="I190" s="47">
        <f>H190*104.9/100</f>
        <v>3.8711360292</v>
      </c>
    </row>
    <row r="191" spans="1:9" s="34" customFormat="1" ht="18.75">
      <c r="A191" s="150" t="s">
        <v>114</v>
      </c>
      <c r="B191" s="151"/>
      <c r="C191" s="151"/>
      <c r="D191" s="151"/>
      <c r="E191" s="151"/>
      <c r="F191" s="151"/>
      <c r="G191" s="151"/>
      <c r="H191" s="151"/>
      <c r="I191" s="151"/>
    </row>
    <row r="192" spans="1:9" ht="24" customHeight="1">
      <c r="A192" s="165" t="s">
        <v>40</v>
      </c>
      <c r="B192" s="166"/>
      <c r="C192" s="166"/>
      <c r="D192" s="166"/>
      <c r="E192" s="166"/>
      <c r="F192" s="166"/>
      <c r="G192" s="166"/>
      <c r="H192" s="166"/>
      <c r="I192" s="167"/>
    </row>
    <row r="193" spans="1:9" ht="25.5">
      <c r="A193" s="8" t="s">
        <v>2</v>
      </c>
      <c r="B193" s="20" t="s">
        <v>7</v>
      </c>
      <c r="C193" s="108">
        <f>1036.592+7.064</f>
        <v>1043.6560000000002</v>
      </c>
      <c r="D193" s="108">
        <f>185.498+6.912+20.6</f>
        <v>213.01</v>
      </c>
      <c r="E193" s="108">
        <f>E195+2.6597+8.779+14.5</f>
        <v>1427.3826999999999</v>
      </c>
      <c r="F193" s="108">
        <f>F195+19.625+15.5</f>
        <v>1126.652</v>
      </c>
      <c r="G193" s="108">
        <f>G195+15.521</f>
        <v>243.236</v>
      </c>
      <c r="H193" s="108">
        <f>H195+14.235</f>
        <v>144.49200000000002</v>
      </c>
      <c r="I193" s="108">
        <f>I195+14.201</f>
        <v>170.455</v>
      </c>
    </row>
    <row r="194" spans="1:9" ht="25.5">
      <c r="A194" s="8" t="s">
        <v>14</v>
      </c>
      <c r="B194" s="20" t="s">
        <v>5</v>
      </c>
      <c r="C194" s="111">
        <f>C193/1.185/1600.5*100</f>
        <v>55.02795144449849</v>
      </c>
      <c r="D194" s="111">
        <f>D193/1.078/C193*100</f>
        <v>18.933192795078316</v>
      </c>
      <c r="E194" s="111">
        <f>E193/1.082/D193*100</f>
        <v>619.317248476441</v>
      </c>
      <c r="F194" s="111">
        <f>F193/1.082/E193*100</f>
        <v>72.94946353077883</v>
      </c>
      <c r="G194" s="111">
        <f>G193/1.075/F193*100</f>
        <v>20.083046629449726</v>
      </c>
      <c r="H194" s="111">
        <f>H193/1.073/G193*100</f>
        <v>55.36256811448042</v>
      </c>
      <c r="I194" s="111">
        <f>I193/1.072/H193*100</f>
        <v>110.04521347254259</v>
      </c>
    </row>
    <row r="195" spans="1:9" ht="47.25">
      <c r="A195" s="59" t="s">
        <v>147</v>
      </c>
      <c r="B195" s="60"/>
      <c r="C195" s="108">
        <f>C197+C206+C209+C212+C215+C218+C221+C224+C227+21.6+3.9</f>
        <v>1036.5800000000002</v>
      </c>
      <c r="D195" s="108">
        <f>D197+D206+D209+D212+D215+D218+D221+D224+D227+4.6+1.7</f>
        <v>188.46999999999997</v>
      </c>
      <c r="E195" s="108">
        <f>E197+E206+E209+E212+E215+E218+E221+E224+E227+7.181+4.384</f>
        <v>1401.444</v>
      </c>
      <c r="F195" s="108">
        <f>F197+F206+F209+F212+F215+F218+F221+F224+F227+5</f>
        <v>1091.527</v>
      </c>
      <c r="G195" s="108">
        <f>G197+G206+G209+G212+G215+G218+G221+G224+G227+7+2</f>
        <v>227.715</v>
      </c>
      <c r="H195" s="108">
        <f>H197+H206+H209+H212+H215+H218+H221+H224+H227+5.1+10</f>
        <v>130.257</v>
      </c>
      <c r="I195" s="108">
        <f>I197+I206+I209+I212+I215+I218+I221+I224+I227+7+15</f>
        <v>156.25400000000002</v>
      </c>
    </row>
    <row r="196" spans="1:9" s="24" customFormat="1" ht="15.75" hidden="1">
      <c r="A196" s="162" t="s">
        <v>158</v>
      </c>
      <c r="B196" s="163"/>
      <c r="C196" s="163"/>
      <c r="D196" s="163"/>
      <c r="E196" s="163"/>
      <c r="F196" s="163"/>
      <c r="G196" s="163"/>
      <c r="H196" s="163"/>
      <c r="I196" s="164"/>
    </row>
    <row r="197" spans="1:9" ht="25.5" hidden="1">
      <c r="A197" s="18" t="s">
        <v>2</v>
      </c>
      <c r="B197" s="60" t="s">
        <v>7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</row>
    <row r="198" spans="1:9" ht="25.5" hidden="1">
      <c r="A198" s="18" t="s">
        <v>14</v>
      </c>
      <c r="B198" s="60" t="s">
        <v>5</v>
      </c>
      <c r="C198" s="44"/>
      <c r="D198" s="44"/>
      <c r="E198" s="44"/>
      <c r="F198" s="44"/>
      <c r="G198" s="44"/>
      <c r="H198" s="44"/>
      <c r="I198" s="50"/>
    </row>
    <row r="199" spans="1:10" ht="15.75" hidden="1">
      <c r="A199" s="162" t="s">
        <v>159</v>
      </c>
      <c r="B199" s="163"/>
      <c r="C199" s="163"/>
      <c r="D199" s="163"/>
      <c r="E199" s="163"/>
      <c r="F199" s="163"/>
      <c r="G199" s="163"/>
      <c r="H199" s="163"/>
      <c r="I199" s="164"/>
      <c r="J199" s="7"/>
    </row>
    <row r="200" spans="1:10" ht="25.5" hidden="1">
      <c r="A200" s="18" t="s">
        <v>2</v>
      </c>
      <c r="B200" s="60" t="s">
        <v>7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7"/>
    </row>
    <row r="201" spans="1:10" ht="25.5" hidden="1">
      <c r="A201" s="18" t="s">
        <v>14</v>
      </c>
      <c r="B201" s="60" t="s">
        <v>5</v>
      </c>
      <c r="C201" s="44"/>
      <c r="D201" s="44"/>
      <c r="E201" s="44"/>
      <c r="F201" s="44"/>
      <c r="G201" s="44"/>
      <c r="H201" s="44"/>
      <c r="I201" s="50"/>
      <c r="J201" s="7"/>
    </row>
    <row r="202" spans="1:9" s="24" customFormat="1" ht="15.75" hidden="1">
      <c r="A202" s="162" t="s">
        <v>160</v>
      </c>
      <c r="B202" s="163"/>
      <c r="C202" s="163"/>
      <c r="D202" s="163"/>
      <c r="E202" s="163"/>
      <c r="F202" s="163"/>
      <c r="G202" s="163"/>
      <c r="H202" s="163"/>
      <c r="I202" s="164"/>
    </row>
    <row r="203" spans="1:9" ht="25.5" hidden="1">
      <c r="A203" s="18" t="s">
        <v>2</v>
      </c>
      <c r="B203" s="60" t="s">
        <v>7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</row>
    <row r="204" spans="1:9" ht="25.5" hidden="1">
      <c r="A204" s="18" t="s">
        <v>14</v>
      </c>
      <c r="B204" s="60" t="s">
        <v>5</v>
      </c>
      <c r="C204" s="44"/>
      <c r="D204" s="44"/>
      <c r="E204" s="44"/>
      <c r="F204" s="44"/>
      <c r="G204" s="44"/>
      <c r="H204" s="44"/>
      <c r="I204" s="50"/>
    </row>
    <row r="205" spans="1:9" s="24" customFormat="1" ht="15.75">
      <c r="A205" s="162" t="s">
        <v>161</v>
      </c>
      <c r="B205" s="163"/>
      <c r="C205" s="163"/>
      <c r="D205" s="163"/>
      <c r="E205" s="163"/>
      <c r="F205" s="163"/>
      <c r="G205" s="163"/>
      <c r="H205" s="163"/>
      <c r="I205" s="164"/>
    </row>
    <row r="206" spans="1:9" ht="25.5">
      <c r="A206" s="18" t="s">
        <v>2</v>
      </c>
      <c r="B206" s="60" t="s">
        <v>7</v>
      </c>
      <c r="C206" s="44">
        <f>0.879</f>
        <v>0.879</v>
      </c>
      <c r="D206" s="44">
        <f>0.649</f>
        <v>0.649</v>
      </c>
      <c r="E206" s="44">
        <v>4.19</v>
      </c>
      <c r="F206" s="44">
        <v>1</v>
      </c>
      <c r="G206" s="44">
        <v>1</v>
      </c>
      <c r="H206" s="44">
        <v>2</v>
      </c>
      <c r="I206" s="44">
        <v>2.5</v>
      </c>
    </row>
    <row r="207" spans="1:9" ht="25.5">
      <c r="A207" s="18" t="s">
        <v>14</v>
      </c>
      <c r="B207" s="60" t="s">
        <v>5</v>
      </c>
      <c r="C207" s="44">
        <f>C206/1.185/0.7*100</f>
        <v>105.96745027124774</v>
      </c>
      <c r="D207" s="44">
        <f>D206/1.078/C206*100</f>
        <v>68.49156044670428</v>
      </c>
      <c r="E207" s="44">
        <f>E206/1.082/D206*100</f>
        <v>596.6808028276118</v>
      </c>
      <c r="F207" s="44">
        <f>F206/1.082/E206*100</f>
        <v>22.057623335200873</v>
      </c>
      <c r="G207" s="44">
        <f>G206/1.075/F206*100</f>
        <v>93.02325581395348</v>
      </c>
      <c r="H207" s="44">
        <f>H206/1.073/G206*100</f>
        <v>186.39328984156572</v>
      </c>
      <c r="I207" s="44">
        <f>I206/1.072/H206*100</f>
        <v>116.60447761194028</v>
      </c>
    </row>
    <row r="208" spans="1:9" s="24" customFormat="1" ht="26.25" customHeight="1">
      <c r="A208" s="162" t="s">
        <v>162</v>
      </c>
      <c r="B208" s="163"/>
      <c r="C208" s="163"/>
      <c r="D208" s="163"/>
      <c r="E208" s="163"/>
      <c r="F208" s="163"/>
      <c r="G208" s="163"/>
      <c r="H208" s="163"/>
      <c r="I208" s="164"/>
    </row>
    <row r="209" spans="1:9" ht="25.5">
      <c r="A209" s="18" t="s">
        <v>2</v>
      </c>
      <c r="B209" s="60" t="s">
        <v>7</v>
      </c>
      <c r="C209" s="44">
        <f>114.949</f>
        <v>114.949</v>
      </c>
      <c r="D209" s="44">
        <v>82.438</v>
      </c>
      <c r="E209" s="44">
        <v>69.428</v>
      </c>
      <c r="F209" s="44">
        <f>16.184+1.2+3.825+4.987</f>
        <v>26.195999999999998</v>
      </c>
      <c r="G209" s="44">
        <f>22+1.2+9.6</f>
        <v>32.8</v>
      </c>
      <c r="H209" s="44">
        <v>50</v>
      </c>
      <c r="I209" s="44">
        <v>55</v>
      </c>
    </row>
    <row r="210" spans="1:9" ht="25.5">
      <c r="A210" s="18" t="s">
        <v>14</v>
      </c>
      <c r="B210" s="60" t="s">
        <v>5</v>
      </c>
      <c r="C210" s="44">
        <f>C209/1.185/1345.9*100</f>
        <v>7.207324134588465</v>
      </c>
      <c r="D210" s="44">
        <f>D209/1.078/C209*100</f>
        <v>66.52785002935317</v>
      </c>
      <c r="E210" s="44">
        <f>E209/1.082/D209*100</f>
        <v>77.83589921540319</v>
      </c>
      <c r="F210" s="44">
        <f>F209/1.082/E209*100</f>
        <v>34.87169569517462</v>
      </c>
      <c r="G210" s="44">
        <f>G209/1.075/F209*100</f>
        <v>116.4743774124933</v>
      </c>
      <c r="H210" s="44">
        <f>H209/1.073/G209*100</f>
        <v>142.0680562816812</v>
      </c>
      <c r="I210" s="44">
        <f>I209/1.072/H209*100</f>
        <v>102.61194029850746</v>
      </c>
    </row>
    <row r="211" spans="1:9" s="24" customFormat="1" ht="15.75">
      <c r="A211" s="162" t="s">
        <v>163</v>
      </c>
      <c r="B211" s="163"/>
      <c r="C211" s="163"/>
      <c r="D211" s="163"/>
      <c r="E211" s="163"/>
      <c r="F211" s="163"/>
      <c r="G211" s="163"/>
      <c r="H211" s="163"/>
      <c r="I211" s="164"/>
    </row>
    <row r="212" spans="1:10" ht="25.5">
      <c r="A212" s="18" t="s">
        <v>2</v>
      </c>
      <c r="B212" s="60" t="s">
        <v>7</v>
      </c>
      <c r="C212" s="44">
        <f>13.098</f>
        <v>13.098</v>
      </c>
      <c r="D212" s="44">
        <v>5.463</v>
      </c>
      <c r="E212" s="44">
        <v>2.276</v>
      </c>
      <c r="F212" s="44">
        <v>4</v>
      </c>
      <c r="G212" s="44">
        <v>3</v>
      </c>
      <c r="H212" s="44">
        <v>4</v>
      </c>
      <c r="I212" s="44">
        <v>5</v>
      </c>
      <c r="J212" s="101"/>
    </row>
    <row r="213" spans="1:9" ht="25.5">
      <c r="A213" s="18" t="s">
        <v>14</v>
      </c>
      <c r="B213" s="60" t="s">
        <v>5</v>
      </c>
      <c r="C213" s="44">
        <f>C212/1.185/11.1*100</f>
        <v>99.57805907172997</v>
      </c>
      <c r="D213" s="44">
        <f>D212/1.078/C212*100</f>
        <v>38.690777189566525</v>
      </c>
      <c r="E213" s="44">
        <f>E212/1.082/D212*100</f>
        <v>38.50470464556892</v>
      </c>
      <c r="F213" s="44">
        <f>F212/1.082/E212*100</f>
        <v>162.42784143144408</v>
      </c>
      <c r="G213" s="44">
        <f>G212/1.075/F212*100</f>
        <v>69.76744186046511</v>
      </c>
      <c r="H213" s="44">
        <f>H212/1.073/G212*100</f>
        <v>124.26219322771048</v>
      </c>
      <c r="I213" s="44">
        <f>I212/1.072/H212*100</f>
        <v>116.60447761194028</v>
      </c>
    </row>
    <row r="214" spans="1:9" s="24" customFormat="1" ht="19.5" customHeight="1">
      <c r="A214" s="162" t="s">
        <v>164</v>
      </c>
      <c r="B214" s="163"/>
      <c r="C214" s="163"/>
      <c r="D214" s="163"/>
      <c r="E214" s="163"/>
      <c r="F214" s="163"/>
      <c r="G214" s="163"/>
      <c r="H214" s="163"/>
      <c r="I214" s="164"/>
    </row>
    <row r="215" spans="1:9" ht="25.5">
      <c r="A215" s="18" t="s">
        <v>2</v>
      </c>
      <c r="B215" s="60" t="s">
        <v>7</v>
      </c>
      <c r="C215" s="44">
        <v>0.05</v>
      </c>
      <c r="D215" s="44">
        <v>0.001</v>
      </c>
      <c r="E215" s="44">
        <v>1.816</v>
      </c>
      <c r="F215" s="44">
        <v>0.2</v>
      </c>
      <c r="G215" s="44">
        <v>1</v>
      </c>
      <c r="H215" s="44">
        <v>1</v>
      </c>
      <c r="I215" s="44">
        <v>1</v>
      </c>
    </row>
    <row r="216" spans="1:9" ht="25.5">
      <c r="A216" s="18" t="s">
        <v>14</v>
      </c>
      <c r="B216" s="60" t="s">
        <v>5</v>
      </c>
      <c r="C216" s="44">
        <f>C215/1.185/1.5*100</f>
        <v>2.8129395218002813</v>
      </c>
      <c r="D216" s="44">
        <f>D215/1.076/C215*100</f>
        <v>1.8587360594795537</v>
      </c>
      <c r="E216" s="44"/>
      <c r="F216" s="44">
        <f>F215/1.082/E215*100</f>
        <v>10.17857288265327</v>
      </c>
      <c r="G216" s="44">
        <f>G215/1.075/F215*100</f>
        <v>465.11627906976736</v>
      </c>
      <c r="H216" s="44">
        <f>H215/1.073/G215*100</f>
        <v>93.19664492078286</v>
      </c>
      <c r="I216" s="44">
        <f>I215/1.072/H215*100</f>
        <v>93.28358208955223</v>
      </c>
    </row>
    <row r="217" spans="1:9" s="24" customFormat="1" ht="15.75">
      <c r="A217" s="162" t="s">
        <v>165</v>
      </c>
      <c r="B217" s="163"/>
      <c r="C217" s="163"/>
      <c r="D217" s="163"/>
      <c r="E217" s="163"/>
      <c r="F217" s="163"/>
      <c r="G217" s="163"/>
      <c r="H217" s="163"/>
      <c r="I217" s="164"/>
    </row>
    <row r="218" spans="1:9" ht="25.5">
      <c r="A218" s="18" t="s">
        <v>2</v>
      </c>
      <c r="B218" s="60" t="s">
        <v>7</v>
      </c>
      <c r="C218" s="44">
        <v>821.439</v>
      </c>
      <c r="D218" s="44">
        <v>49.596</v>
      </c>
      <c r="E218" s="44">
        <f>1255.249+16.392+15.384+5.829</f>
        <v>1292.854</v>
      </c>
      <c r="F218" s="44">
        <f>984.7+5.246+10+0.95</f>
        <v>1000.8960000000001</v>
      </c>
      <c r="G218" s="44">
        <f>120+10+5.815+4+20.7-3</f>
        <v>157.515</v>
      </c>
      <c r="H218" s="44">
        <f>10+11.357+4.5+11.3-4</f>
        <v>33.157</v>
      </c>
      <c r="I218" s="44">
        <f>10+26.254+5+7</f>
        <v>48.254000000000005</v>
      </c>
    </row>
    <row r="219" spans="1:9" ht="25.5">
      <c r="A219" s="18" t="s">
        <v>14</v>
      </c>
      <c r="B219" s="60" t="s">
        <v>5</v>
      </c>
      <c r="C219" s="44">
        <f>C218/1.185/13*100</f>
        <v>5332.288218111002</v>
      </c>
      <c r="D219" s="44">
        <f>D218/1.076/C218*100</f>
        <v>5.611242807192498</v>
      </c>
      <c r="E219" s="44">
        <f>E218/1.082/D218*100</f>
        <v>2409.2150714557356</v>
      </c>
      <c r="F219" s="44">
        <f>F218/1.082/E218*100</f>
        <v>71.55042362580897</v>
      </c>
      <c r="G219" s="44">
        <f>G218/1.075/F218*100</f>
        <v>14.639441200219485</v>
      </c>
      <c r="H219" s="44">
        <f>H218/1.073/G218*100</f>
        <v>19.61794848514997</v>
      </c>
      <c r="I219" s="44">
        <f>I218/1.072/H218*100</f>
        <v>135.75733540879014</v>
      </c>
    </row>
    <row r="220" spans="1:9" s="24" customFormat="1" ht="21" customHeight="1">
      <c r="A220" s="162" t="s">
        <v>166</v>
      </c>
      <c r="B220" s="163"/>
      <c r="C220" s="163"/>
      <c r="D220" s="163"/>
      <c r="E220" s="163"/>
      <c r="F220" s="163"/>
      <c r="G220" s="163"/>
      <c r="H220" s="163"/>
      <c r="I220" s="164"/>
    </row>
    <row r="221" spans="1:9" ht="25.5">
      <c r="A221" s="18" t="s">
        <v>2</v>
      </c>
      <c r="B221" s="60" t="s">
        <v>7</v>
      </c>
      <c r="C221" s="44">
        <v>9.229</v>
      </c>
      <c r="D221" s="44">
        <v>3.658</v>
      </c>
      <c r="E221" s="44">
        <v>0.254</v>
      </c>
      <c r="F221" s="44">
        <v>1</v>
      </c>
      <c r="G221" s="44">
        <v>1</v>
      </c>
      <c r="H221" s="44">
        <v>1.5</v>
      </c>
      <c r="I221" s="44">
        <v>2</v>
      </c>
    </row>
    <row r="222" spans="1:9" ht="25.5">
      <c r="A222" s="18" t="s">
        <v>14</v>
      </c>
      <c r="B222" s="60" t="s">
        <v>5</v>
      </c>
      <c r="C222" s="44">
        <f>C221/1.185/178.7*100</f>
        <v>4.358246029103771</v>
      </c>
      <c r="D222" s="44">
        <f>D221/1.076/C221*100</f>
        <v>36.836366375426415</v>
      </c>
      <c r="E222" s="44">
        <f>E221/1.082/D221*100</f>
        <v>6.417453857496142</v>
      </c>
      <c r="F222" s="44">
        <f>F221/1.082/E221*100</f>
        <v>363.86394399406174</v>
      </c>
      <c r="G222" s="44">
        <f>G221/1.075/F221*100</f>
        <v>93.02325581395348</v>
      </c>
      <c r="H222" s="44">
        <f>H221/1.073/G221*100</f>
        <v>139.79496738117427</v>
      </c>
      <c r="I222" s="44">
        <f>I221/1.072/H221*100</f>
        <v>124.37810945273631</v>
      </c>
    </row>
    <row r="223" spans="1:9" s="24" customFormat="1" ht="15.75">
      <c r="A223" s="162" t="s">
        <v>167</v>
      </c>
      <c r="B223" s="163"/>
      <c r="C223" s="163"/>
      <c r="D223" s="163"/>
      <c r="E223" s="163"/>
      <c r="F223" s="163"/>
      <c r="G223" s="163"/>
      <c r="H223" s="163"/>
      <c r="I223" s="164"/>
    </row>
    <row r="224" spans="1:9" ht="25.5">
      <c r="A224" s="18" t="s">
        <v>2</v>
      </c>
      <c r="B224" s="60" t="s">
        <v>7</v>
      </c>
      <c r="C224" s="45">
        <v>19.585</v>
      </c>
      <c r="D224" s="45">
        <v>27.293</v>
      </c>
      <c r="E224" s="45">
        <v>5.818</v>
      </c>
      <c r="F224" s="45">
        <v>13.235</v>
      </c>
      <c r="G224" s="45">
        <f>4.8+1.5+5+3</f>
        <v>14.3</v>
      </c>
      <c r="H224" s="45">
        <v>15</v>
      </c>
      <c r="I224" s="45">
        <v>12</v>
      </c>
    </row>
    <row r="225" spans="1:9" ht="25.5">
      <c r="A225" s="18" t="s">
        <v>14</v>
      </c>
      <c r="B225" s="60" t="s">
        <v>5</v>
      </c>
      <c r="C225" s="44">
        <f>C224/1.185/20*100</f>
        <v>82.63713080168775</v>
      </c>
      <c r="D225" s="44">
        <f>D224/1.076/C224*100</f>
        <v>129.51361570430294</v>
      </c>
      <c r="E225" s="44">
        <f>E224/1.082/D224*100</f>
        <v>19.701313459275</v>
      </c>
      <c r="F225" s="44">
        <f>F224/1.082/E224*100</f>
        <v>210.24368887683008</v>
      </c>
      <c r="G225" s="44">
        <f>G224/1.075/F224*100</f>
        <v>100.50869347484208</v>
      </c>
      <c r="H225" s="44">
        <f>H224/1.073/G224*100</f>
        <v>97.75871844837361</v>
      </c>
      <c r="I225" s="44">
        <f>I224/1.072/H224*100</f>
        <v>74.6268656716418</v>
      </c>
    </row>
    <row r="226" spans="1:9" s="24" customFormat="1" ht="22.5" customHeight="1">
      <c r="A226" s="162" t="s">
        <v>168</v>
      </c>
      <c r="B226" s="163"/>
      <c r="C226" s="163"/>
      <c r="D226" s="163"/>
      <c r="E226" s="163"/>
      <c r="F226" s="163"/>
      <c r="G226" s="163"/>
      <c r="H226" s="163"/>
      <c r="I226" s="164"/>
    </row>
    <row r="227" spans="1:9" ht="25.5">
      <c r="A227" s="18" t="s">
        <v>2</v>
      </c>
      <c r="B227" s="60" t="s">
        <v>7</v>
      </c>
      <c r="C227" s="44">
        <v>31.851</v>
      </c>
      <c r="D227" s="44">
        <v>13.072</v>
      </c>
      <c r="E227" s="44">
        <v>13.243</v>
      </c>
      <c r="F227" s="44">
        <v>40</v>
      </c>
      <c r="G227" s="44">
        <f>5.6+0.5+2</f>
        <v>8.1</v>
      </c>
      <c r="H227" s="44">
        <f>6+0.5+2</f>
        <v>8.5</v>
      </c>
      <c r="I227" s="44">
        <f>6+0.5+2</f>
        <v>8.5</v>
      </c>
    </row>
    <row r="228" spans="1:9" ht="25.5">
      <c r="A228" s="18" t="s">
        <v>14</v>
      </c>
      <c r="B228" s="60" t="s">
        <v>5</v>
      </c>
      <c r="C228" s="44">
        <f>C227/1.185/22.8*100</f>
        <v>117.88807461692205</v>
      </c>
      <c r="D228" s="44">
        <f>D227/1.078/C227*100</f>
        <v>38.071519119434186</v>
      </c>
      <c r="E228" s="44">
        <f>E227/1.082/D227*100</f>
        <v>93.63044319305335</v>
      </c>
      <c r="F228" s="44">
        <f>F227/1.082/E227*100</f>
        <v>279.1556045442624</v>
      </c>
      <c r="G228" s="44">
        <f>G227/1.075/F227*100</f>
        <v>18.83720930232558</v>
      </c>
      <c r="H228" s="44">
        <f>H227/1.073/G227*100</f>
        <v>97.79894837366103</v>
      </c>
      <c r="I228" s="44">
        <f>I227/1.072/H227*100</f>
        <v>93.28358208955223</v>
      </c>
    </row>
    <row r="229" spans="1:9" ht="35.25" customHeight="1">
      <c r="A229" s="165" t="s">
        <v>275</v>
      </c>
      <c r="B229" s="166"/>
      <c r="C229" s="166"/>
      <c r="D229" s="166"/>
      <c r="E229" s="166"/>
      <c r="F229" s="166"/>
      <c r="G229" s="166"/>
      <c r="H229" s="166"/>
      <c r="I229" s="167"/>
    </row>
    <row r="230" spans="1:9" ht="21" customHeight="1">
      <c r="A230" s="147" t="s">
        <v>61</v>
      </c>
      <c r="B230" s="148"/>
      <c r="C230" s="148"/>
      <c r="D230" s="148"/>
      <c r="E230" s="148"/>
      <c r="F230" s="148"/>
      <c r="G230" s="148"/>
      <c r="H230" s="148"/>
      <c r="I230" s="149"/>
    </row>
    <row r="231" spans="1:9" ht="25.5">
      <c r="A231" s="8" t="s">
        <v>2</v>
      </c>
      <c r="B231" s="20" t="s">
        <v>7</v>
      </c>
      <c r="C231" s="44">
        <v>51.8</v>
      </c>
      <c r="D231" s="44">
        <v>24.2</v>
      </c>
      <c r="E231" s="44">
        <v>37.568</v>
      </c>
      <c r="F231" s="44">
        <f>F235+F238</f>
        <v>36</v>
      </c>
      <c r="G231" s="44">
        <f>G235+G238</f>
        <v>30</v>
      </c>
      <c r="H231" s="44">
        <f>H235+H238</f>
        <v>31.52</v>
      </c>
      <c r="I231" s="44">
        <f>I235+I238</f>
        <v>34.572</v>
      </c>
    </row>
    <row r="232" spans="1:9" ht="25.5">
      <c r="A232" s="8" t="s">
        <v>14</v>
      </c>
      <c r="B232" s="20" t="s">
        <v>5</v>
      </c>
      <c r="C232" s="44">
        <f>C231/1.185/74.3*100</f>
        <v>58.83321691625352</v>
      </c>
      <c r="D232" s="44">
        <f>D231/1.076/C231*100</f>
        <v>43.41835196853784</v>
      </c>
      <c r="E232" s="44">
        <f>E231/1.082/D231*100</f>
        <v>143.47474068529354</v>
      </c>
      <c r="F232" s="44">
        <f>F231/1.082/E231*100</f>
        <v>88.56398807180848</v>
      </c>
      <c r="G232" s="44">
        <f>G231/1.075/F231*100</f>
        <v>77.51937984496125</v>
      </c>
      <c r="H232" s="44">
        <f>H231/1.073/G231*100</f>
        <v>97.91860826343584</v>
      </c>
      <c r="I232" s="44">
        <f>I231/1.072/H231*100</f>
        <v>102.31598984771573</v>
      </c>
    </row>
    <row r="233" spans="1:9" ht="15.75">
      <c r="A233" s="8" t="s">
        <v>41</v>
      </c>
      <c r="B233" s="20"/>
      <c r="C233" s="44"/>
      <c r="D233" s="44"/>
      <c r="E233" s="44"/>
      <c r="F233" s="44"/>
      <c r="G233" s="44"/>
      <c r="H233" s="44"/>
      <c r="I233" s="3"/>
    </row>
    <row r="234" spans="1:9" ht="15.75">
      <c r="A234" s="61" t="s">
        <v>42</v>
      </c>
      <c r="B234" s="20"/>
      <c r="C234" s="44"/>
      <c r="D234" s="44"/>
      <c r="E234" s="44"/>
      <c r="F234" s="44"/>
      <c r="G234" s="44"/>
      <c r="H234" s="44"/>
      <c r="I234" s="3"/>
    </row>
    <row r="235" spans="1:9" ht="25.5">
      <c r="A235" s="8" t="s">
        <v>2</v>
      </c>
      <c r="B235" s="20" t="s">
        <v>7</v>
      </c>
      <c r="C235" s="44">
        <v>7.8</v>
      </c>
      <c r="D235" s="44">
        <v>1.9</v>
      </c>
      <c r="E235" s="44">
        <v>8.267</v>
      </c>
      <c r="F235" s="44">
        <v>10</v>
      </c>
      <c r="G235" s="44">
        <v>10</v>
      </c>
      <c r="H235" s="44">
        <v>11</v>
      </c>
      <c r="I235" s="44">
        <v>12</v>
      </c>
    </row>
    <row r="236" spans="1:9" ht="25.5">
      <c r="A236" s="8" t="s">
        <v>14</v>
      </c>
      <c r="B236" s="20" t="s">
        <v>5</v>
      </c>
      <c r="C236" s="44">
        <f>C235/1.185/13.1*100</f>
        <v>50.24640061841724</v>
      </c>
      <c r="D236" s="44">
        <f>D235/1.076/C235*100</f>
        <v>22.638452006481742</v>
      </c>
      <c r="E236" s="44">
        <f>E235/1.082/D235*100</f>
        <v>402.13055744722243</v>
      </c>
      <c r="F236" s="44">
        <f>F235/1.082/E235*100</f>
        <v>111.79562329078468</v>
      </c>
      <c r="G236" s="44">
        <f>G235/1.075/F235*100</f>
        <v>93.0232558139535</v>
      </c>
      <c r="H236" s="44">
        <f>H235/1.073/G235*100</f>
        <v>102.51630941286113</v>
      </c>
      <c r="I236" s="44">
        <f>I235/1.072/H235*100</f>
        <v>101.76390773405699</v>
      </c>
    </row>
    <row r="237" spans="1:9" ht="15.75">
      <c r="A237" s="61" t="s">
        <v>43</v>
      </c>
      <c r="B237" s="20"/>
      <c r="C237" s="44"/>
      <c r="D237" s="44"/>
      <c r="E237" s="44"/>
      <c r="F237" s="44"/>
      <c r="G237" s="44"/>
      <c r="H237" s="44"/>
      <c r="I237" s="3"/>
    </row>
    <row r="238" spans="1:9" ht="25.5">
      <c r="A238" s="8" t="s">
        <v>2</v>
      </c>
      <c r="B238" s="20" t="s">
        <v>7</v>
      </c>
      <c r="C238" s="44">
        <v>44</v>
      </c>
      <c r="D238" s="44">
        <v>22</v>
      </c>
      <c r="E238" s="44">
        <v>28.648</v>
      </c>
      <c r="F238" s="44">
        <v>26</v>
      </c>
      <c r="G238" s="44">
        <v>20</v>
      </c>
      <c r="H238" s="44">
        <f>(G238-2)*1.14</f>
        <v>20.52</v>
      </c>
      <c r="I238" s="44">
        <f>H238*1.1</f>
        <v>22.572000000000003</v>
      </c>
    </row>
    <row r="239" spans="1:9" ht="25.5">
      <c r="A239" s="8" t="s">
        <v>14</v>
      </c>
      <c r="B239" s="20" t="s">
        <v>5</v>
      </c>
      <c r="C239" s="44">
        <f>C238/1.185/61.2*100</f>
        <v>60.6712445878492</v>
      </c>
      <c r="D239" s="44">
        <f>D238/1.076/C238*100</f>
        <v>46.468401486988846</v>
      </c>
      <c r="E239" s="44">
        <f>E238/1.082/D238*100</f>
        <v>120.3495210888926</v>
      </c>
      <c r="F239" s="44">
        <f>F238/1.082/E238*100</f>
        <v>83.87871705308515</v>
      </c>
      <c r="G239" s="44">
        <f>G238/1.075/F238*100</f>
        <v>71.55635062611807</v>
      </c>
      <c r="H239" s="44">
        <f>H238/1.073/G238*100</f>
        <v>95.61975768872321</v>
      </c>
      <c r="I239" s="44">
        <f>I238/1.072/H238*100</f>
        <v>102.61194029850746</v>
      </c>
    </row>
    <row r="240" spans="1:9" ht="15.75">
      <c r="A240" s="147" t="s">
        <v>62</v>
      </c>
      <c r="B240" s="148"/>
      <c r="C240" s="148"/>
      <c r="D240" s="148"/>
      <c r="E240" s="148"/>
      <c r="F240" s="148"/>
      <c r="G240" s="148"/>
      <c r="H240" s="148"/>
      <c r="I240" s="149"/>
    </row>
    <row r="241" spans="1:9" ht="25.5">
      <c r="A241" s="8" t="s">
        <v>2</v>
      </c>
      <c r="B241" s="20" t="s">
        <v>7</v>
      </c>
      <c r="C241" s="44">
        <v>984.8</v>
      </c>
      <c r="D241" s="44">
        <v>161.3</v>
      </c>
      <c r="E241" s="44">
        <v>1363.876</v>
      </c>
      <c r="F241" s="44">
        <f>F195-F231</f>
        <v>1055.527</v>
      </c>
      <c r="G241" s="44">
        <f>G195-G231</f>
        <v>197.715</v>
      </c>
      <c r="H241" s="44">
        <f>H195-H231</f>
        <v>98.73700000000001</v>
      </c>
      <c r="I241" s="44">
        <f>I195-I231</f>
        <v>121.68200000000002</v>
      </c>
    </row>
    <row r="242" spans="1:9" ht="25.5">
      <c r="A242" s="8" t="s">
        <v>14</v>
      </c>
      <c r="B242" s="20" t="s">
        <v>5</v>
      </c>
      <c r="C242" s="44">
        <f>C241/1.185/1526.2*100</f>
        <v>54.452552242214324</v>
      </c>
      <c r="D242" s="44">
        <f>D241/1.076/C241*100</f>
        <v>15.22208196557941</v>
      </c>
      <c r="E242" s="44">
        <f>E241/1.082/D241*100</f>
        <v>781.4717068916715</v>
      </c>
      <c r="F242" s="44">
        <f>F241/1.082/E241*100</f>
        <v>71.52653699596142</v>
      </c>
      <c r="G242" s="44">
        <f>G241/1.075/F241*100</f>
        <v>17.424559507483764</v>
      </c>
      <c r="H242" s="44">
        <f>H241/1.073/G241*100</f>
        <v>46.54152254276781</v>
      </c>
      <c r="I242" s="44">
        <f>I241/1.072/H241*100</f>
        <v>114.96128944388522</v>
      </c>
    </row>
    <row r="243" spans="1:9" ht="15.75">
      <c r="A243" s="58" t="s">
        <v>258</v>
      </c>
      <c r="B243" s="20"/>
      <c r="C243" s="44"/>
      <c r="D243" s="44"/>
      <c r="E243" s="44"/>
      <c r="F243" s="44"/>
      <c r="G243" s="44"/>
      <c r="H243" s="44"/>
      <c r="I243" s="3"/>
    </row>
    <row r="244" spans="1:9" ht="25.5">
      <c r="A244" s="8" t="s">
        <v>2</v>
      </c>
      <c r="B244" s="20" t="s">
        <v>90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</row>
    <row r="245" spans="1:9" ht="25.5">
      <c r="A245" s="8" t="s">
        <v>14</v>
      </c>
      <c r="B245" s="20" t="s">
        <v>5</v>
      </c>
      <c r="C245" s="44"/>
      <c r="D245" s="44"/>
      <c r="E245" s="44"/>
      <c r="F245" s="44"/>
      <c r="G245" s="44"/>
      <c r="H245" s="44"/>
      <c r="I245" s="3"/>
    </row>
    <row r="246" spans="1:9" s="7" customFormat="1" ht="34.5" customHeight="1">
      <c r="A246" s="165" t="s">
        <v>212</v>
      </c>
      <c r="B246" s="166"/>
      <c r="C246" s="166"/>
      <c r="D246" s="166"/>
      <c r="E246" s="166"/>
      <c r="F246" s="166"/>
      <c r="G246" s="166"/>
      <c r="H246" s="166"/>
      <c r="I246" s="167"/>
    </row>
    <row r="247" spans="1:9" s="7" customFormat="1" ht="25.5">
      <c r="A247" s="8" t="s">
        <v>2</v>
      </c>
      <c r="B247" s="20" t="s">
        <v>7</v>
      </c>
      <c r="C247" s="51">
        <v>1048.993</v>
      </c>
      <c r="D247" s="51">
        <v>1642.723</v>
      </c>
      <c r="E247" s="51">
        <v>1727.1</v>
      </c>
      <c r="F247" s="51">
        <f>E247*1.113</f>
        <v>1922.2622999999999</v>
      </c>
      <c r="G247" s="51">
        <f>F247*1.05</f>
        <v>2018.375415</v>
      </c>
      <c r="H247" s="51">
        <f>G247*107/100</f>
        <v>2159.66169405</v>
      </c>
      <c r="I247" s="51">
        <f>H247*107/100</f>
        <v>2310.8380126334996</v>
      </c>
    </row>
    <row r="248" spans="1:9" s="7" customFormat="1" ht="26.25" thickBot="1">
      <c r="A248" s="14" t="s">
        <v>14</v>
      </c>
      <c r="B248" s="21" t="s">
        <v>5</v>
      </c>
      <c r="C248" s="46">
        <f>C247/1.24/1339.2*100</f>
        <v>63.16921272208732</v>
      </c>
      <c r="D248" s="46">
        <v>156.6</v>
      </c>
      <c r="E248" s="46">
        <v>90.4</v>
      </c>
      <c r="F248" s="46">
        <f>F247/1.082/E247*100</f>
        <v>102.86506469500924</v>
      </c>
      <c r="G248" s="46">
        <f>G247/1.072/F247*100</f>
        <v>97.94776119402985</v>
      </c>
      <c r="H248" s="46">
        <f>H247/1.071/G247*100</f>
        <v>99.90662931839402</v>
      </c>
      <c r="I248" s="46">
        <f>I247/1.068/H247*100</f>
        <v>100.18726591760299</v>
      </c>
    </row>
    <row r="249" spans="1:9" s="32" customFormat="1" ht="18.75">
      <c r="A249" s="150" t="s">
        <v>63</v>
      </c>
      <c r="B249" s="151"/>
      <c r="C249" s="151"/>
      <c r="D249" s="151"/>
      <c r="E249" s="151"/>
      <c r="F249" s="151"/>
      <c r="G249" s="151"/>
      <c r="H249" s="151"/>
      <c r="I249" s="151"/>
    </row>
    <row r="250" spans="1:9" s="12" customFormat="1" ht="15.75">
      <c r="A250" s="165" t="s">
        <v>64</v>
      </c>
      <c r="B250" s="166"/>
      <c r="C250" s="166"/>
      <c r="D250" s="166"/>
      <c r="E250" s="166"/>
      <c r="F250" s="166"/>
      <c r="G250" s="166"/>
      <c r="H250" s="166"/>
      <c r="I250" s="167"/>
    </row>
    <row r="251" spans="1:9" s="12" customFormat="1" ht="25.5">
      <c r="A251" s="8" t="s">
        <v>2</v>
      </c>
      <c r="B251" s="20" t="s">
        <v>7</v>
      </c>
      <c r="C251" s="87">
        <v>2018.6</v>
      </c>
      <c r="D251" s="87">
        <v>2070</v>
      </c>
      <c r="E251" s="87">
        <v>2098.4</v>
      </c>
      <c r="F251" s="87">
        <v>2308.2</v>
      </c>
      <c r="G251" s="87">
        <v>2423.6</v>
      </c>
      <c r="H251" s="87">
        <v>2544.8</v>
      </c>
      <c r="I251" s="87">
        <v>2672</v>
      </c>
    </row>
    <row r="252" spans="1:9" s="12" customFormat="1" ht="25.5">
      <c r="A252" s="8" t="s">
        <v>14</v>
      </c>
      <c r="B252" s="20" t="s">
        <v>5</v>
      </c>
      <c r="C252" s="43">
        <f>C251/1.128*100/1610.5</f>
        <v>111.1169827440049</v>
      </c>
      <c r="D252" s="43">
        <f>D251/1.104*100/C251</f>
        <v>92.88615872386802</v>
      </c>
      <c r="E252" s="43">
        <f>E251/1.062/D251*100</f>
        <v>95.45384244475377</v>
      </c>
      <c r="F252" s="43">
        <f>F251/1.084*100/E251</f>
        <v>101.47425625990913</v>
      </c>
      <c r="G252" s="43">
        <f>G251/1.053*100/F251</f>
        <v>99.71468828298104</v>
      </c>
      <c r="H252" s="43">
        <f>H251/1.055*100/G251</f>
        <v>99.52684854851466</v>
      </c>
      <c r="I252" s="43">
        <f>I251/1.047*100/H251</f>
        <v>100.28503167836008</v>
      </c>
    </row>
    <row r="253" spans="1:9" s="12" customFormat="1" ht="31.5">
      <c r="A253" s="8" t="s">
        <v>65</v>
      </c>
      <c r="B253" s="20" t="s">
        <v>6</v>
      </c>
      <c r="C253" s="43">
        <v>25.3</v>
      </c>
      <c r="D253" s="43">
        <v>55.6</v>
      </c>
      <c r="E253" s="43">
        <v>52</v>
      </c>
      <c r="F253" s="43">
        <v>49.5</v>
      </c>
      <c r="G253" s="43">
        <v>43</v>
      </c>
      <c r="H253" s="43">
        <v>39.5</v>
      </c>
      <c r="I253" s="43">
        <v>39.5</v>
      </c>
    </row>
    <row r="254" spans="1:9" s="12" customFormat="1" ht="47.25">
      <c r="A254" s="8" t="s">
        <v>84</v>
      </c>
      <c r="B254" s="20" t="s">
        <v>6</v>
      </c>
      <c r="C254" s="43">
        <v>74.7</v>
      </c>
      <c r="D254" s="43">
        <v>44.4</v>
      </c>
      <c r="E254" s="43">
        <v>48</v>
      </c>
      <c r="F254" s="43">
        <v>50.5</v>
      </c>
      <c r="G254" s="43">
        <v>57</v>
      </c>
      <c r="H254" s="43">
        <v>60.5</v>
      </c>
      <c r="I254" s="43">
        <v>60.5</v>
      </c>
    </row>
    <row r="255" spans="1:9" s="13" customFormat="1" ht="25.5" customHeight="1">
      <c r="A255" s="165" t="s">
        <v>81</v>
      </c>
      <c r="B255" s="166"/>
      <c r="C255" s="166"/>
      <c r="D255" s="166"/>
      <c r="E255" s="166"/>
      <c r="F255" s="166"/>
      <c r="G255" s="166"/>
      <c r="H255" s="166"/>
      <c r="I255" s="167"/>
    </row>
    <row r="256" spans="1:9" s="12" customFormat="1" ht="25.5">
      <c r="A256" s="8" t="s">
        <v>2</v>
      </c>
      <c r="B256" s="20" t="s">
        <v>7</v>
      </c>
      <c r="C256" s="102">
        <v>57.9</v>
      </c>
      <c r="D256" s="102">
        <v>58.1</v>
      </c>
      <c r="E256" s="102">
        <v>71.6</v>
      </c>
      <c r="F256" s="102">
        <v>75.2</v>
      </c>
      <c r="G256" s="102">
        <v>79</v>
      </c>
      <c r="H256" s="102">
        <v>83</v>
      </c>
      <c r="I256" s="102">
        <v>87.2</v>
      </c>
    </row>
    <row r="257" spans="1:9" s="12" customFormat="1" ht="25.5">
      <c r="A257" s="8" t="s">
        <v>14</v>
      </c>
      <c r="B257" s="20" t="s">
        <v>5</v>
      </c>
      <c r="C257" s="43">
        <f>C256/1.253/51.9*100</f>
        <v>89.03487122236115</v>
      </c>
      <c r="D257" s="43">
        <f>D256/108.4*100/C256*100</f>
        <v>92.56957854552638</v>
      </c>
      <c r="E257" s="43">
        <f>E256/1.045/D256*100</f>
        <v>117.9289955447216</v>
      </c>
      <c r="F257" s="43">
        <f>F256/1.106/E256*100</f>
        <v>94.96196470243568</v>
      </c>
      <c r="G257" s="43">
        <f>G256/104.4*100/F256*100</f>
        <v>100.62566234613189</v>
      </c>
      <c r="H257" s="43">
        <f>H256/1.07/G256*100</f>
        <v>98.18999171891636</v>
      </c>
      <c r="I257" s="43">
        <f>I256/1.056/H256*100</f>
        <v>99.48886454910551</v>
      </c>
    </row>
    <row r="258" spans="1:9" s="12" customFormat="1" ht="24.75" customHeight="1">
      <c r="A258" s="165" t="s">
        <v>66</v>
      </c>
      <c r="B258" s="166"/>
      <c r="C258" s="166"/>
      <c r="D258" s="166"/>
      <c r="E258" s="166"/>
      <c r="F258" s="166"/>
      <c r="G258" s="166"/>
      <c r="H258" s="166"/>
      <c r="I258" s="167"/>
    </row>
    <row r="259" spans="1:9" s="12" customFormat="1" ht="25.5">
      <c r="A259" s="8" t="s">
        <v>2</v>
      </c>
      <c r="B259" s="20" t="s">
        <v>7</v>
      </c>
      <c r="C259" s="88">
        <v>515.9</v>
      </c>
      <c r="D259" s="88">
        <v>549.6</v>
      </c>
      <c r="E259" s="88">
        <f>E263+E266+E269+E272+E278+E281+E284+E287+E290+E293+E296+E299+E301+E275</f>
        <v>541.9942</v>
      </c>
      <c r="F259" s="88">
        <f>F263+F266+F269+F272+F275+F278+F287+F290+F293+F296+F299+F301</f>
        <v>593.5420760000001</v>
      </c>
      <c r="G259" s="88">
        <f>G263+G266+G269+G272+G275+G278+G287+G290+G293+G296+G299+G301</f>
        <v>622.0177286</v>
      </c>
      <c r="H259" s="88">
        <f>H263+H266+H269+H272+H275+H278+H287+H290+H293+H296+H299+H301</f>
        <v>662.42281503</v>
      </c>
      <c r="I259" s="88">
        <f>I263+I266+I269+I272+I275+I278+I287+I290+I293+I296+I299+I301</f>
        <v>703.1720557815</v>
      </c>
    </row>
    <row r="260" spans="1:9" s="12" customFormat="1" ht="25.5">
      <c r="A260" s="8" t="s">
        <v>14</v>
      </c>
      <c r="B260" s="20" t="s">
        <v>5</v>
      </c>
      <c r="C260" s="43">
        <f>C259/1.141*100/481.5</f>
        <v>93.90389185125724</v>
      </c>
      <c r="D260" s="43">
        <f>D259/1.131*100/C259</f>
        <v>94.192991774052</v>
      </c>
      <c r="E260" s="43">
        <f>E259/1.081/D259*100</f>
        <v>91.22675376053495</v>
      </c>
      <c r="F260" s="43">
        <f>F259/1.088*100/E259</f>
        <v>100.65329044545669</v>
      </c>
      <c r="G260" s="43">
        <f>G259/1.059*100/F259</f>
        <v>98.95899852596952</v>
      </c>
      <c r="H260" s="43">
        <f>H259/1.077*100/G259</f>
        <v>98.88190293000459</v>
      </c>
      <c r="I260" s="43">
        <f>I259/1.07*100/H259</f>
        <v>99.20705185258826</v>
      </c>
    </row>
    <row r="261" spans="1:9" s="12" customFormat="1" ht="15.75">
      <c r="A261" s="8" t="s">
        <v>15</v>
      </c>
      <c r="B261" s="20"/>
      <c r="C261" s="43"/>
      <c r="D261" s="43"/>
      <c r="E261" s="43"/>
      <c r="F261" s="43"/>
      <c r="G261" s="43"/>
      <c r="H261" s="43"/>
      <c r="I261" s="3"/>
    </row>
    <row r="262" spans="1:9" s="12" customFormat="1" ht="15.75">
      <c r="A262" s="147" t="s">
        <v>67</v>
      </c>
      <c r="B262" s="148"/>
      <c r="C262" s="148"/>
      <c r="D262" s="148"/>
      <c r="E262" s="148"/>
      <c r="F262" s="148"/>
      <c r="G262" s="148"/>
      <c r="H262" s="148"/>
      <c r="I262" s="149"/>
    </row>
    <row r="263" spans="1:9" s="12" customFormat="1" ht="25.5">
      <c r="A263" s="55" t="s">
        <v>2</v>
      </c>
      <c r="B263" s="20" t="s">
        <v>7</v>
      </c>
      <c r="C263" s="103">
        <v>44.2</v>
      </c>
      <c r="D263" s="103">
        <v>49.5</v>
      </c>
      <c r="E263" s="43">
        <v>46</v>
      </c>
      <c r="F263" s="43">
        <v>48.3</v>
      </c>
      <c r="G263" s="43">
        <v>51</v>
      </c>
      <c r="H263" s="43">
        <v>53.5</v>
      </c>
      <c r="I263" s="43">
        <v>56.2</v>
      </c>
    </row>
    <row r="264" spans="1:9" s="12" customFormat="1" ht="25.5">
      <c r="A264" s="55" t="s">
        <v>14</v>
      </c>
      <c r="B264" s="20" t="s">
        <v>5</v>
      </c>
      <c r="C264" s="43">
        <v>90.1</v>
      </c>
      <c r="D264" s="43">
        <f>D263/113.1*100/C263*100</f>
        <v>99.01940780392957</v>
      </c>
      <c r="E264" s="43">
        <f>E263/1.081/D263*100</f>
        <v>85.96604341285192</v>
      </c>
      <c r="F264" s="43">
        <f>F263/1.088*100/E263</f>
        <v>96.50735294117646</v>
      </c>
      <c r="G264" s="43">
        <f>G263/1.059*100/F263</f>
        <v>99.70732966175756</v>
      </c>
      <c r="H264" s="43">
        <f>H263/1.077*100/G263</f>
        <v>97.40200629926996</v>
      </c>
      <c r="I264" s="43">
        <f>I263/1.07*100/H263</f>
        <v>98.174513057909</v>
      </c>
    </row>
    <row r="265" spans="1:9" s="12" customFormat="1" ht="15.75">
      <c r="A265" s="147" t="s">
        <v>68</v>
      </c>
      <c r="B265" s="148"/>
      <c r="C265" s="148"/>
      <c r="D265" s="148"/>
      <c r="E265" s="148"/>
      <c r="F265" s="148"/>
      <c r="G265" s="148"/>
      <c r="H265" s="148"/>
      <c r="I265" s="149"/>
    </row>
    <row r="266" spans="1:9" s="12" customFormat="1" ht="25.5">
      <c r="A266" s="55" t="s">
        <v>2</v>
      </c>
      <c r="B266" s="20" t="s">
        <v>7</v>
      </c>
      <c r="C266" s="43">
        <f>4.617+16.454</f>
        <v>21.071</v>
      </c>
      <c r="D266" s="43">
        <f>0.333+0.606+20</f>
        <v>20.939</v>
      </c>
      <c r="E266" s="43">
        <f>0.002+0.48+18</f>
        <v>18.482</v>
      </c>
      <c r="F266" s="43">
        <v>20.4</v>
      </c>
      <c r="G266" s="43">
        <v>21.4</v>
      </c>
      <c r="H266" s="43">
        <v>22.4</v>
      </c>
      <c r="I266" s="43">
        <v>24</v>
      </c>
    </row>
    <row r="267" spans="1:9" s="12" customFormat="1" ht="25.5">
      <c r="A267" s="55" t="s">
        <v>14</v>
      </c>
      <c r="B267" s="20" t="s">
        <v>5</v>
      </c>
      <c r="C267" s="43">
        <f>C266/1.141*100/24.9</f>
        <v>74.16519716024486</v>
      </c>
      <c r="D267" s="43">
        <f>D266/1.131*100/C266</f>
        <v>87.86343641079436</v>
      </c>
      <c r="E267" s="43">
        <f>E266/1.081/D266*100</f>
        <v>81.65209553904852</v>
      </c>
      <c r="F267" s="43">
        <f>F266/1.088*100/E266</f>
        <v>101.45005951736823</v>
      </c>
      <c r="G267" s="43">
        <f>G266/1.059*100/F266</f>
        <v>99.05756447999408</v>
      </c>
      <c r="H267" s="43">
        <f>H266/1.077*100/G266</f>
        <v>97.1893195879867</v>
      </c>
      <c r="I267" s="43">
        <f>I266/1.07*100/H266</f>
        <v>100.13351134846462</v>
      </c>
    </row>
    <row r="268" spans="1:9" s="12" customFormat="1" ht="15.75">
      <c r="A268" s="147" t="s">
        <v>69</v>
      </c>
      <c r="B268" s="148"/>
      <c r="C268" s="148"/>
      <c r="D268" s="148"/>
      <c r="E268" s="148"/>
      <c r="F268" s="148"/>
      <c r="G268" s="148"/>
      <c r="H268" s="148"/>
      <c r="I268" s="149"/>
    </row>
    <row r="269" spans="1:9" s="12" customFormat="1" ht="25.5">
      <c r="A269" s="55" t="s">
        <v>2</v>
      </c>
      <c r="B269" s="20" t="s">
        <v>7</v>
      </c>
      <c r="C269" s="43">
        <f>89.846+7.85</f>
        <v>97.696</v>
      </c>
      <c r="D269" s="43">
        <v>100.5</v>
      </c>
      <c r="E269" s="43">
        <f>35.1802+11.442</f>
        <v>46.6222</v>
      </c>
      <c r="F269" s="43">
        <f>38+12</f>
        <v>50</v>
      </c>
      <c r="G269" s="43">
        <f>38+12.456</f>
        <v>50.456</v>
      </c>
      <c r="H269" s="43">
        <f>40+13.178</f>
        <v>53.178</v>
      </c>
      <c r="I269" s="43">
        <f>41+14.1</f>
        <v>55.1</v>
      </c>
    </row>
    <row r="270" spans="1:9" s="12" customFormat="1" ht="25.5">
      <c r="A270" s="55" t="s">
        <v>14</v>
      </c>
      <c r="B270" s="20" t="s">
        <v>5</v>
      </c>
      <c r="C270" s="43">
        <f>C269/1.141*100/88.3</f>
        <v>96.96844575152629</v>
      </c>
      <c r="D270" s="43">
        <f>D269/1.131*100/C269</f>
        <v>90.95502010893316</v>
      </c>
      <c r="E270" s="43">
        <f>E269/1.081/D269*100</f>
        <v>42.91419866440232</v>
      </c>
      <c r="F270" s="43">
        <f>F269/1.088*100/E269</f>
        <v>98.57081466112962</v>
      </c>
      <c r="G270" s="43">
        <f>G269/1.059*100/F269</f>
        <v>95.28989612842307</v>
      </c>
      <c r="H270" s="43">
        <f>H269/1.077*100/G269</f>
        <v>97.85960949786967</v>
      </c>
      <c r="I270" s="43">
        <f>I269/1.07*100/H269</f>
        <v>96.83577250517833</v>
      </c>
    </row>
    <row r="271" spans="1:9" s="12" customFormat="1" ht="15.75">
      <c r="A271" s="147" t="s">
        <v>70</v>
      </c>
      <c r="B271" s="148"/>
      <c r="C271" s="148"/>
      <c r="D271" s="148"/>
      <c r="E271" s="148"/>
      <c r="F271" s="148"/>
      <c r="G271" s="148"/>
      <c r="H271" s="148"/>
      <c r="I271" s="149"/>
    </row>
    <row r="272" spans="1:9" s="12" customFormat="1" ht="25.5">
      <c r="A272" s="55" t="s">
        <v>2</v>
      </c>
      <c r="B272" s="20" t="s">
        <v>7</v>
      </c>
      <c r="C272" s="43">
        <v>46.8</v>
      </c>
      <c r="D272" s="43">
        <v>50.8</v>
      </c>
      <c r="E272" s="43">
        <v>60.7</v>
      </c>
      <c r="F272" s="43">
        <v>68.2</v>
      </c>
      <c r="G272" s="43">
        <v>71.4</v>
      </c>
      <c r="H272" s="43">
        <v>76.9</v>
      </c>
      <c r="I272" s="43">
        <v>82.1</v>
      </c>
    </row>
    <row r="273" spans="1:9" s="12" customFormat="1" ht="25.5">
      <c r="A273" s="55" t="s">
        <v>14</v>
      </c>
      <c r="B273" s="20" t="s">
        <v>5</v>
      </c>
      <c r="C273" s="43">
        <f>C272/1.141*100/37.9</f>
        <v>108.22335635777532</v>
      </c>
      <c r="D273" s="43">
        <f>D272/1.131*100/C272</f>
        <v>95.9743665313957</v>
      </c>
      <c r="E273" s="43">
        <v>105.3</v>
      </c>
      <c r="F273" s="43">
        <v>103.2</v>
      </c>
      <c r="G273" s="43">
        <v>98.8</v>
      </c>
      <c r="H273" s="43">
        <v>100</v>
      </c>
      <c r="I273" s="43">
        <v>99.8</v>
      </c>
    </row>
    <row r="274" spans="1:9" s="12" customFormat="1" ht="15.75">
      <c r="A274" s="147" t="s">
        <v>71</v>
      </c>
      <c r="B274" s="148"/>
      <c r="C274" s="148"/>
      <c r="D274" s="148"/>
      <c r="E274" s="148"/>
      <c r="F274" s="148"/>
      <c r="G274" s="148"/>
      <c r="H274" s="148"/>
      <c r="I274" s="149"/>
    </row>
    <row r="275" spans="1:9" s="12" customFormat="1" ht="25.5">
      <c r="A275" s="55" t="s">
        <v>2</v>
      </c>
      <c r="B275" s="20" t="s">
        <v>7</v>
      </c>
      <c r="C275" s="43">
        <v>167.5</v>
      </c>
      <c r="D275" s="43">
        <f>166.3+34.6</f>
        <v>200.9</v>
      </c>
      <c r="E275" s="43">
        <v>237</v>
      </c>
      <c r="F275" s="43">
        <v>264.8</v>
      </c>
      <c r="G275" s="43">
        <v>278</v>
      </c>
      <c r="H275" s="43">
        <v>299.4</v>
      </c>
      <c r="I275" s="43">
        <v>320.3</v>
      </c>
    </row>
    <row r="276" spans="1:9" s="12" customFormat="1" ht="25.5">
      <c r="A276" s="55" t="s">
        <v>14</v>
      </c>
      <c r="B276" s="20" t="s">
        <v>5</v>
      </c>
      <c r="C276" s="43">
        <f>C275/1.141*100/170.3</f>
        <v>86.20143964123733</v>
      </c>
      <c r="D276" s="43">
        <f>D275/1.131*100/C275</f>
        <v>106.04800929041792</v>
      </c>
      <c r="E276" s="43">
        <v>107.9</v>
      </c>
      <c r="F276" s="43">
        <v>102.7</v>
      </c>
      <c r="G276" s="43">
        <v>99.1</v>
      </c>
      <c r="H276" s="43">
        <v>100</v>
      </c>
      <c r="I276" s="43">
        <v>100</v>
      </c>
    </row>
    <row r="277" spans="1:9" s="12" customFormat="1" ht="15.75">
      <c r="A277" s="147" t="s">
        <v>72</v>
      </c>
      <c r="B277" s="148"/>
      <c r="C277" s="148"/>
      <c r="D277" s="148"/>
      <c r="E277" s="148"/>
      <c r="F277" s="148"/>
      <c r="G277" s="148"/>
      <c r="H277" s="148"/>
      <c r="I277" s="149"/>
    </row>
    <row r="278" spans="1:9" s="12" customFormat="1" ht="25.5">
      <c r="A278" s="55" t="s">
        <v>2</v>
      </c>
      <c r="B278" s="20" t="s">
        <v>7</v>
      </c>
      <c r="C278" s="43">
        <v>2</v>
      </c>
      <c r="D278" s="43">
        <v>2.2</v>
      </c>
      <c r="E278" s="43">
        <v>2.723</v>
      </c>
      <c r="F278" s="43">
        <v>2.8</v>
      </c>
      <c r="G278" s="43">
        <v>2.9</v>
      </c>
      <c r="H278" s="43">
        <v>3</v>
      </c>
      <c r="I278" s="43">
        <v>3.1</v>
      </c>
    </row>
    <row r="279" spans="1:9" s="12" customFormat="1" ht="25.5">
      <c r="A279" s="55" t="s">
        <v>14</v>
      </c>
      <c r="B279" s="20" t="s">
        <v>5</v>
      </c>
      <c r="C279" s="43">
        <f>C278/1.141*100/1.7</f>
        <v>103.10872815383823</v>
      </c>
      <c r="D279" s="43">
        <f>D278/1.131*100/C278</f>
        <v>97.25906277630416</v>
      </c>
      <c r="E279" s="43">
        <f>E278/1.081/D278*100</f>
        <v>114.49836010428054</v>
      </c>
      <c r="F279" s="43">
        <f>F278/1.088*100/E278</f>
        <v>94.51081203689701</v>
      </c>
      <c r="G279" s="43">
        <f>G278/1.059*100/F278</f>
        <v>97.8011601241063</v>
      </c>
      <c r="H279" s="43">
        <f>H278/1.077*100/G278</f>
        <v>96.05225242531938</v>
      </c>
      <c r="I279" s="43">
        <f>I278/1.07*100/H278</f>
        <v>96.57320872274143</v>
      </c>
    </row>
    <row r="280" spans="1:9" s="12" customFormat="1" ht="15.75">
      <c r="A280" s="147" t="s">
        <v>73</v>
      </c>
      <c r="B280" s="148"/>
      <c r="C280" s="148"/>
      <c r="D280" s="148"/>
      <c r="E280" s="148"/>
      <c r="F280" s="148"/>
      <c r="G280" s="148"/>
      <c r="H280" s="148"/>
      <c r="I280" s="149"/>
    </row>
    <row r="281" spans="1:9" s="12" customFormat="1" ht="25.5">
      <c r="A281" s="55" t="s">
        <v>2</v>
      </c>
      <c r="B281" s="20" t="s">
        <v>7</v>
      </c>
      <c r="C281" s="43">
        <v>0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</row>
    <row r="282" spans="1:9" s="12" customFormat="1" ht="25.5">
      <c r="A282" s="55" t="s">
        <v>14</v>
      </c>
      <c r="B282" s="20" t="s">
        <v>5</v>
      </c>
      <c r="C282" s="43"/>
      <c r="D282" s="43"/>
      <c r="E282" s="43"/>
      <c r="F282" s="43"/>
      <c r="G282" s="43"/>
      <c r="H282" s="43"/>
      <c r="I282" s="3"/>
    </row>
    <row r="283" spans="1:9" s="12" customFormat="1" ht="15.75" customHeight="1">
      <c r="A283" s="147" t="s">
        <v>74</v>
      </c>
      <c r="B283" s="148"/>
      <c r="C283" s="148"/>
      <c r="D283" s="148"/>
      <c r="E283" s="148"/>
      <c r="F283" s="148"/>
      <c r="G283" s="148"/>
      <c r="H283" s="148"/>
      <c r="I283" s="149"/>
    </row>
    <row r="284" spans="1:9" s="12" customFormat="1" ht="25.5">
      <c r="A284" s="55" t="s">
        <v>2</v>
      </c>
      <c r="B284" s="20" t="s">
        <v>7</v>
      </c>
      <c r="C284" s="43">
        <v>0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</row>
    <row r="285" spans="1:9" s="12" customFormat="1" ht="25.5">
      <c r="A285" s="55" t="s">
        <v>14</v>
      </c>
      <c r="B285" s="20" t="s">
        <v>5</v>
      </c>
      <c r="C285" s="43"/>
      <c r="D285" s="43"/>
      <c r="E285" s="43"/>
      <c r="F285" s="43"/>
      <c r="G285" s="43"/>
      <c r="H285" s="43"/>
      <c r="I285" s="3"/>
    </row>
    <row r="286" spans="1:9" s="12" customFormat="1" ht="15.75">
      <c r="A286" s="147" t="s">
        <v>75</v>
      </c>
      <c r="B286" s="148"/>
      <c r="C286" s="148"/>
      <c r="D286" s="148"/>
      <c r="E286" s="148"/>
      <c r="F286" s="148"/>
      <c r="G286" s="148"/>
      <c r="H286" s="148"/>
      <c r="I286" s="149"/>
    </row>
    <row r="287" spans="1:9" s="12" customFormat="1" ht="25.5">
      <c r="A287" s="55" t="s">
        <v>2</v>
      </c>
      <c r="B287" s="20" t="s">
        <v>7</v>
      </c>
      <c r="C287" s="43">
        <f>10.031+0.403</f>
        <v>10.434000000000001</v>
      </c>
      <c r="D287" s="43">
        <f>11.5+5.02</f>
        <v>16.52</v>
      </c>
      <c r="E287" s="43">
        <f>10.095+5.5</f>
        <v>15.595</v>
      </c>
      <c r="F287" s="43">
        <f>10.8+5+2</f>
        <v>17.8</v>
      </c>
      <c r="G287" s="43">
        <f>11.1+7</f>
        <v>18.1</v>
      </c>
      <c r="H287" s="43">
        <f>G287*1.05</f>
        <v>19.005000000000003</v>
      </c>
      <c r="I287" s="43">
        <f>H287*1.05</f>
        <v>19.955250000000003</v>
      </c>
    </row>
    <row r="288" spans="1:9" s="12" customFormat="1" ht="25.5">
      <c r="A288" s="55" t="s">
        <v>14</v>
      </c>
      <c r="B288" s="20" t="s">
        <v>5</v>
      </c>
      <c r="C288" s="43">
        <f>C287/1.141*100/7.3</f>
        <v>125.26863001692821</v>
      </c>
      <c r="D288" s="43">
        <f>D287/1.131*100/C287</f>
        <v>139.98986852985382</v>
      </c>
      <c r="E288" s="43">
        <f>E287/1.081/D287*100</f>
        <v>87.32722145444201</v>
      </c>
      <c r="F288" s="43">
        <f>F287/1.088*100/E287</f>
        <v>104.90730437734567</v>
      </c>
      <c r="G288" s="43">
        <f>G287/1.059*100/F287</f>
        <v>96.02020137717373</v>
      </c>
      <c r="H288" s="43">
        <f>H287/1.077*100/G287</f>
        <v>97.49303621169918</v>
      </c>
      <c r="I288" s="43">
        <f>I287/1.07*100/H287</f>
        <v>98.13084112149531</v>
      </c>
    </row>
    <row r="289" spans="1:9" s="12" customFormat="1" ht="22.5" customHeight="1">
      <c r="A289" s="147" t="s">
        <v>76</v>
      </c>
      <c r="B289" s="148"/>
      <c r="C289" s="148"/>
      <c r="D289" s="148"/>
      <c r="E289" s="148"/>
      <c r="F289" s="148"/>
      <c r="G289" s="148"/>
      <c r="H289" s="148"/>
      <c r="I289" s="149"/>
    </row>
    <row r="290" spans="1:9" s="12" customFormat="1" ht="25.5">
      <c r="A290" s="55" t="s">
        <v>2</v>
      </c>
      <c r="B290" s="20" t="s">
        <v>7</v>
      </c>
      <c r="C290" s="43">
        <v>67.1</v>
      </c>
      <c r="D290" s="43">
        <v>63.3</v>
      </c>
      <c r="E290" s="43">
        <f>57.648</f>
        <v>57.648</v>
      </c>
      <c r="F290" s="43">
        <f>E290*1.03</f>
        <v>59.37744000000001</v>
      </c>
      <c r="G290" s="43">
        <f>F290*1.07</f>
        <v>63.533860800000014</v>
      </c>
      <c r="H290" s="43">
        <f>G290*1.05</f>
        <v>66.71055384000002</v>
      </c>
      <c r="I290" s="43">
        <f>H290*1.05</f>
        <v>70.04608153200002</v>
      </c>
    </row>
    <row r="291" spans="1:9" s="12" customFormat="1" ht="25.5">
      <c r="A291" s="55" t="s">
        <v>14</v>
      </c>
      <c r="B291" s="20" t="s">
        <v>5</v>
      </c>
      <c r="C291" s="43">
        <f>C290/1.141*100/57.4</f>
        <v>102.45307160721538</v>
      </c>
      <c r="D291" s="43">
        <f>D290/1.131*100/C290</f>
        <v>83.41008906300033</v>
      </c>
      <c r="E291" s="43">
        <f>E290/1.081/D290*100</f>
        <v>84.24707682460073</v>
      </c>
      <c r="F291" s="43">
        <f>F290/1.088*100/E290</f>
        <v>94.66911764705883</v>
      </c>
      <c r="G291" s="43">
        <f>G290/1.059*100/F290</f>
        <v>101.03871576959396</v>
      </c>
      <c r="H291" s="43">
        <f>H290/1.077*100/G290</f>
        <v>97.49303621169918</v>
      </c>
      <c r="I291" s="43">
        <f>I290/1.07*100/H290</f>
        <v>98.13084112149531</v>
      </c>
    </row>
    <row r="292" spans="1:9" s="12" customFormat="1" ht="15.75">
      <c r="A292" s="147" t="s">
        <v>77</v>
      </c>
      <c r="B292" s="148"/>
      <c r="C292" s="148"/>
      <c r="D292" s="148"/>
      <c r="E292" s="148"/>
      <c r="F292" s="148"/>
      <c r="G292" s="148"/>
      <c r="H292" s="148"/>
      <c r="I292" s="149"/>
    </row>
    <row r="293" spans="1:9" s="12" customFormat="1" ht="25.5">
      <c r="A293" s="55" t="s">
        <v>2</v>
      </c>
      <c r="B293" s="20" t="s">
        <v>7</v>
      </c>
      <c r="C293" s="43">
        <v>2</v>
      </c>
      <c r="D293" s="43">
        <v>1.5</v>
      </c>
      <c r="E293" s="43">
        <v>1.718</v>
      </c>
      <c r="F293" s="43">
        <f>E293*1.05</f>
        <v>1.8039</v>
      </c>
      <c r="G293" s="43">
        <f>F293*1.05</f>
        <v>1.894095</v>
      </c>
      <c r="H293" s="43">
        <f>G293*1.05</f>
        <v>1.98879975</v>
      </c>
      <c r="I293" s="43">
        <f>H293*1.05</f>
        <v>2.0882397375000004</v>
      </c>
    </row>
    <row r="294" spans="1:9" s="12" customFormat="1" ht="25.5">
      <c r="A294" s="55" t="s">
        <v>14</v>
      </c>
      <c r="B294" s="20" t="s">
        <v>5</v>
      </c>
      <c r="C294" s="43">
        <f>C293/1.141*100/1</f>
        <v>175.28483786152498</v>
      </c>
      <c r="D294" s="43">
        <f>D293/1.131*100/C293</f>
        <v>66.3129973474801</v>
      </c>
      <c r="E294" s="43">
        <f>E293/1.081/D293*100</f>
        <v>105.95127967930928</v>
      </c>
      <c r="F294" s="43">
        <f>F293/1.088*100/E293</f>
        <v>96.50735294117646</v>
      </c>
      <c r="G294" s="43">
        <f>G293/1.059*100/F293</f>
        <v>99.1501416430595</v>
      </c>
      <c r="H294" s="43">
        <f>H293/1.077*100/G293</f>
        <v>97.49303621169918</v>
      </c>
      <c r="I294" s="43">
        <f>I293/1.07*100/H293</f>
        <v>98.13084112149534</v>
      </c>
    </row>
    <row r="295" spans="1:9" s="12" customFormat="1" ht="15.75">
      <c r="A295" s="147" t="s">
        <v>78</v>
      </c>
      <c r="B295" s="148"/>
      <c r="C295" s="148"/>
      <c r="D295" s="148"/>
      <c r="E295" s="148"/>
      <c r="F295" s="148"/>
      <c r="G295" s="148"/>
      <c r="H295" s="148"/>
      <c r="I295" s="149"/>
    </row>
    <row r="296" spans="1:9" s="12" customFormat="1" ht="25.5">
      <c r="A296" s="55" t="s">
        <v>2</v>
      </c>
      <c r="B296" s="20" t="s">
        <v>7</v>
      </c>
      <c r="C296" s="43">
        <v>0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</row>
    <row r="297" spans="1:9" s="12" customFormat="1" ht="25.5">
      <c r="A297" s="55" t="s">
        <v>14</v>
      </c>
      <c r="B297" s="20" t="s">
        <v>5</v>
      </c>
      <c r="C297" s="43"/>
      <c r="D297" s="43"/>
      <c r="E297" s="43"/>
      <c r="F297" s="43"/>
      <c r="G297" s="43"/>
      <c r="H297" s="43"/>
      <c r="I297" s="3"/>
    </row>
    <row r="298" spans="1:9" s="12" customFormat="1" ht="15.75">
      <c r="A298" s="147" t="s">
        <v>79</v>
      </c>
      <c r="B298" s="148"/>
      <c r="C298" s="148"/>
      <c r="D298" s="148"/>
      <c r="E298" s="148"/>
      <c r="F298" s="148"/>
      <c r="G298" s="148"/>
      <c r="H298" s="148"/>
      <c r="I298" s="149"/>
    </row>
    <row r="299" spans="1:9" s="12" customFormat="1" ht="25.5">
      <c r="A299" s="55" t="s">
        <v>2</v>
      </c>
      <c r="B299" s="20" t="s">
        <v>7</v>
      </c>
      <c r="C299" s="43">
        <v>32.8</v>
      </c>
      <c r="D299" s="43">
        <f>40.9+1.019</f>
        <v>41.919</v>
      </c>
      <c r="E299" s="43">
        <f>11.1+30.1+1.25</f>
        <v>42.45</v>
      </c>
      <c r="F299" s="43">
        <f>34.1+11+1.5</f>
        <v>46.6</v>
      </c>
      <c r="G299" s="43">
        <f>36.7+11+1.5</f>
        <v>49.2</v>
      </c>
      <c r="H299" s="43">
        <f>39.5+10.5+1.5</f>
        <v>51.5</v>
      </c>
      <c r="I299" s="43">
        <f>42.2+11+1.5</f>
        <v>54.7</v>
      </c>
    </row>
    <row r="300" spans="1:9" s="12" customFormat="1" ht="25.5">
      <c r="A300" s="55" t="s">
        <v>14</v>
      </c>
      <c r="B300" s="20" t="s">
        <v>5</v>
      </c>
      <c r="C300" s="43">
        <f>C299/1.141*100/28.1</f>
        <v>102.30147120743806</v>
      </c>
      <c r="D300" s="43">
        <f>D299/1.131*100/C299</f>
        <v>112.99896487028532</v>
      </c>
      <c r="E300" s="43">
        <f>E299/1.081/D299*100</f>
        <v>93.67874994546442</v>
      </c>
      <c r="F300" s="43">
        <f>F299/1.088*100/E299</f>
        <v>100.89724935910758</v>
      </c>
      <c r="G300" s="43">
        <f>G299/1.059*100/F299</f>
        <v>99.6972607569697</v>
      </c>
      <c r="H300" s="43">
        <f>H299/1.077*100/G299</f>
        <v>97.19108333144612</v>
      </c>
      <c r="I300" s="43">
        <f>I299/1.077*100/H299</f>
        <v>98.6198627975949</v>
      </c>
    </row>
    <row r="301" spans="1:9" s="12" customFormat="1" ht="26.25" thickBot="1">
      <c r="A301" s="62" t="s">
        <v>80</v>
      </c>
      <c r="B301" s="21" t="s">
        <v>7</v>
      </c>
      <c r="C301" s="89">
        <f>C259-C263-C266-C269-C272-C275-C278-C281-C284-C287-C290-C293-C296-C299</f>
        <v>24.298999999999992</v>
      </c>
      <c r="D301" s="89">
        <f>D259-D263-D266-D269-D272-D275-D278-D281-D284-D287-D290-D293-D296-D299</f>
        <v>1.5219999999999914</v>
      </c>
      <c r="E301" s="89">
        <f>11.493+0.016+0.582+0.565+0.4</f>
        <v>13.056000000000001</v>
      </c>
      <c r="F301" s="89">
        <f>E301*1.031</f>
        <v>13.460736</v>
      </c>
      <c r="G301" s="89">
        <f>F301*1.05</f>
        <v>14.133772800000001</v>
      </c>
      <c r="H301" s="89">
        <f>G301*1.05</f>
        <v>14.840461440000002</v>
      </c>
      <c r="I301" s="89">
        <f>H301*1.05</f>
        <v>15.582484512000002</v>
      </c>
    </row>
    <row r="302" spans="1:9" s="32" customFormat="1" ht="18.75">
      <c r="A302" s="160" t="s">
        <v>115</v>
      </c>
      <c r="B302" s="161"/>
      <c r="C302" s="161"/>
      <c r="D302" s="161"/>
      <c r="E302" s="161"/>
      <c r="F302" s="161"/>
      <c r="G302" s="161"/>
      <c r="H302" s="161"/>
      <c r="I302" s="161"/>
    </row>
    <row r="303" spans="1:9" s="9" customFormat="1" ht="63">
      <c r="A303" s="8" t="s">
        <v>169</v>
      </c>
      <c r="B303" s="20" t="s">
        <v>47</v>
      </c>
      <c r="C303" s="112">
        <v>15.268</v>
      </c>
      <c r="D303" s="112">
        <v>14.495</v>
      </c>
      <c r="E303" s="112">
        <v>14.157</v>
      </c>
      <c r="F303" s="112">
        <f>F305+F306+F307+F308+F309+F310+F199</f>
        <v>14.253</v>
      </c>
      <c r="G303" s="112">
        <f>G305+G306+G307+G308+G309+G310+G199</f>
        <v>14.299</v>
      </c>
      <c r="H303" s="112">
        <f>H305+H306+H307+H308+H309+H310+H199</f>
        <v>14.286000000000001</v>
      </c>
      <c r="I303" s="112">
        <f>I305+I306+I307+I308+I309+I310+I199</f>
        <v>14.301000000000002</v>
      </c>
    </row>
    <row r="304" spans="1:9" s="9" customFormat="1" ht="22.5" customHeight="1">
      <c r="A304" s="181" t="s">
        <v>170</v>
      </c>
      <c r="B304" s="182"/>
      <c r="C304" s="182"/>
      <c r="D304" s="182"/>
      <c r="E304" s="182"/>
      <c r="F304" s="182"/>
      <c r="G304" s="182"/>
      <c r="H304" s="182"/>
      <c r="I304" s="183"/>
    </row>
    <row r="305" spans="1:9" s="9" customFormat="1" ht="31.5">
      <c r="A305" s="36" t="s">
        <v>171</v>
      </c>
      <c r="B305" s="20" t="s">
        <v>47</v>
      </c>
      <c r="C305" s="113">
        <v>2.48</v>
      </c>
      <c r="D305" s="113">
        <v>2.451</v>
      </c>
      <c r="E305" s="113">
        <v>2.081</v>
      </c>
      <c r="F305" s="113">
        <v>2.085</v>
      </c>
      <c r="G305" s="113">
        <v>2.085</v>
      </c>
      <c r="H305" s="113">
        <v>2.09</v>
      </c>
      <c r="I305" s="113">
        <v>2.095</v>
      </c>
    </row>
    <row r="306" spans="1:9" s="9" customFormat="1" ht="31.5">
      <c r="A306" s="36" t="s">
        <v>172</v>
      </c>
      <c r="B306" s="20" t="s">
        <v>47</v>
      </c>
      <c r="C306" s="113">
        <v>3.512</v>
      </c>
      <c r="D306" s="113">
        <v>3.366</v>
      </c>
      <c r="E306" s="113">
        <v>3.169</v>
      </c>
      <c r="F306" s="113">
        <v>3.169</v>
      </c>
      <c r="G306" s="113">
        <v>3.169</v>
      </c>
      <c r="H306" s="113">
        <v>3.169</v>
      </c>
      <c r="I306" s="113">
        <v>3.169</v>
      </c>
    </row>
    <row r="307" spans="1:9" s="9" customFormat="1" ht="63">
      <c r="A307" s="36" t="s">
        <v>173</v>
      </c>
      <c r="B307" s="20" t="s">
        <v>47</v>
      </c>
      <c r="C307" s="113">
        <v>0.016</v>
      </c>
      <c r="D307" s="113">
        <v>0.071</v>
      </c>
      <c r="E307" s="113">
        <v>0.072</v>
      </c>
      <c r="F307" s="113">
        <v>0.072</v>
      </c>
      <c r="G307" s="113">
        <v>0.072</v>
      </c>
      <c r="H307" s="113">
        <v>0.072</v>
      </c>
      <c r="I307" s="113">
        <v>0.072</v>
      </c>
    </row>
    <row r="308" spans="1:9" s="9" customFormat="1" ht="31.5">
      <c r="A308" s="36" t="s">
        <v>174</v>
      </c>
      <c r="B308" s="20" t="s">
        <v>47</v>
      </c>
      <c r="C308" s="113">
        <v>0.225</v>
      </c>
      <c r="D308" s="113">
        <v>0.328</v>
      </c>
      <c r="E308" s="114">
        <v>0.085</v>
      </c>
      <c r="F308" s="114">
        <v>0.09</v>
      </c>
      <c r="G308" s="114">
        <v>0.095</v>
      </c>
      <c r="H308" s="114">
        <v>0.1</v>
      </c>
      <c r="I308" s="113">
        <v>0.105</v>
      </c>
    </row>
    <row r="309" spans="1:9" s="9" customFormat="1" ht="47.25">
      <c r="A309" s="36" t="s">
        <v>175</v>
      </c>
      <c r="B309" s="20" t="s">
        <v>47</v>
      </c>
      <c r="C309" s="113">
        <v>0</v>
      </c>
      <c r="D309" s="113">
        <v>0.431</v>
      </c>
      <c r="E309" s="114">
        <v>0.382</v>
      </c>
      <c r="F309" s="114">
        <v>0.385</v>
      </c>
      <c r="G309" s="114">
        <v>0.388</v>
      </c>
      <c r="H309" s="114">
        <v>0.395</v>
      </c>
      <c r="I309" s="113">
        <v>0.4</v>
      </c>
    </row>
    <row r="310" spans="1:9" s="9" customFormat="1" ht="31.5">
      <c r="A310" s="36" t="s">
        <v>176</v>
      </c>
      <c r="B310" s="20" t="s">
        <v>47</v>
      </c>
      <c r="C310" s="114">
        <v>9.035</v>
      </c>
      <c r="D310" s="114">
        <v>7.848</v>
      </c>
      <c r="E310" s="113">
        <v>8.368</v>
      </c>
      <c r="F310" s="113">
        <v>8.452</v>
      </c>
      <c r="G310" s="113">
        <v>8.49</v>
      </c>
      <c r="H310" s="113">
        <v>8.46</v>
      </c>
      <c r="I310" s="113">
        <v>8.46</v>
      </c>
    </row>
    <row r="311" spans="1:9" s="9" customFormat="1" ht="15.75">
      <c r="A311" s="181" t="s">
        <v>177</v>
      </c>
      <c r="B311" s="182"/>
      <c r="C311" s="182"/>
      <c r="D311" s="182"/>
      <c r="E311" s="182"/>
      <c r="F311" s="182"/>
      <c r="G311" s="182"/>
      <c r="H311" s="182"/>
      <c r="I311" s="183"/>
    </row>
    <row r="312" spans="1:9" s="9" customFormat="1" ht="47.25">
      <c r="A312" s="99" t="s">
        <v>270</v>
      </c>
      <c r="B312" s="20" t="s">
        <v>47</v>
      </c>
      <c r="C312" s="113">
        <v>0.036</v>
      </c>
      <c r="D312" s="113">
        <v>0.033</v>
      </c>
      <c r="E312" s="113">
        <v>0.031</v>
      </c>
      <c r="F312" s="113">
        <v>0.031</v>
      </c>
      <c r="G312" s="113">
        <v>0.031</v>
      </c>
      <c r="H312" s="113">
        <v>0.031</v>
      </c>
      <c r="I312" s="113">
        <v>0.031</v>
      </c>
    </row>
    <row r="313" spans="1:9" s="9" customFormat="1" ht="15.75">
      <c r="A313" s="100" t="s">
        <v>271</v>
      </c>
      <c r="B313" s="20" t="s">
        <v>47</v>
      </c>
      <c r="C313" s="113">
        <v>3.881</v>
      </c>
      <c r="D313" s="113">
        <v>2.835</v>
      </c>
      <c r="E313" s="113">
        <v>3.274</v>
      </c>
      <c r="F313" s="113">
        <v>3.397</v>
      </c>
      <c r="G313" s="113">
        <v>3.417</v>
      </c>
      <c r="H313" s="113">
        <v>3.428</v>
      </c>
      <c r="I313" s="113">
        <v>3.432</v>
      </c>
    </row>
    <row r="314" spans="1:9" s="9" customFormat="1" ht="126">
      <c r="A314" s="100" t="s">
        <v>272</v>
      </c>
      <c r="B314" s="20" t="s">
        <v>47</v>
      </c>
      <c r="C314" s="113">
        <v>5.118</v>
      </c>
      <c r="D314" s="113">
        <v>4.98</v>
      </c>
      <c r="E314" s="113">
        <v>5.063</v>
      </c>
      <c r="F314" s="113">
        <v>5.024</v>
      </c>
      <c r="G314" s="113">
        <v>5.012</v>
      </c>
      <c r="H314" s="113">
        <v>5.011</v>
      </c>
      <c r="I314" s="113">
        <v>5.017</v>
      </c>
    </row>
    <row r="315" spans="1:9" s="9" customFormat="1" ht="63">
      <c r="A315" s="8" t="s">
        <v>178</v>
      </c>
      <c r="B315" s="20" t="s">
        <v>47</v>
      </c>
      <c r="C315" s="115">
        <v>8.518</v>
      </c>
      <c r="D315" s="115">
        <v>8.774</v>
      </c>
      <c r="E315" s="115">
        <v>8.339</v>
      </c>
      <c r="F315" s="184">
        <v>8.38</v>
      </c>
      <c r="G315" s="184">
        <v>8.42</v>
      </c>
      <c r="H315" s="184">
        <v>8.438</v>
      </c>
      <c r="I315" s="184">
        <v>8.45</v>
      </c>
    </row>
    <row r="316" spans="1:9" s="9" customFormat="1" ht="63">
      <c r="A316" s="8" t="s">
        <v>184</v>
      </c>
      <c r="B316" s="20" t="s">
        <v>48</v>
      </c>
      <c r="C316" s="115">
        <v>1191</v>
      </c>
      <c r="D316" s="115">
        <v>1755</v>
      </c>
      <c r="E316" s="115">
        <v>1227</v>
      </c>
      <c r="F316" s="115">
        <v>1100</v>
      </c>
      <c r="G316" s="115">
        <v>1100</v>
      </c>
      <c r="H316" s="115">
        <v>1000</v>
      </c>
      <c r="I316" s="115">
        <v>950</v>
      </c>
    </row>
    <row r="317" spans="1:9" s="9" customFormat="1" ht="78.75">
      <c r="A317" s="8" t="s">
        <v>185</v>
      </c>
      <c r="B317" s="20" t="s">
        <v>6</v>
      </c>
      <c r="C317" s="115">
        <v>5.2</v>
      </c>
      <c r="D317" s="115">
        <v>7.5</v>
      </c>
      <c r="E317" s="115">
        <v>5.2</v>
      </c>
      <c r="F317" s="115">
        <v>3.4</v>
      </c>
      <c r="G317" s="115">
        <v>3.4</v>
      </c>
      <c r="H317" s="115">
        <v>3.1</v>
      </c>
      <c r="I317" s="116">
        <v>3</v>
      </c>
    </row>
    <row r="318" spans="1:9" s="12" customFormat="1" ht="25.5">
      <c r="A318" s="8" t="s">
        <v>186</v>
      </c>
      <c r="B318" s="20" t="s">
        <v>33</v>
      </c>
      <c r="C318" s="135">
        <v>1595101.6</v>
      </c>
      <c r="D318" s="135">
        <v>1982964.4</v>
      </c>
      <c r="E318" s="135">
        <v>2016518.3</v>
      </c>
      <c r="F318" s="135">
        <v>2123263</v>
      </c>
      <c r="G318" s="135">
        <v>2229426.2</v>
      </c>
      <c r="H318" s="135">
        <v>2318603.2</v>
      </c>
      <c r="I318" s="135">
        <v>2434533.4</v>
      </c>
    </row>
    <row r="319" spans="1:9" s="9" customFormat="1" ht="63.75" thickBot="1">
      <c r="A319" s="8" t="s">
        <v>112</v>
      </c>
      <c r="B319" s="20" t="s">
        <v>49</v>
      </c>
      <c r="C319" s="134">
        <v>15605.2</v>
      </c>
      <c r="D319" s="134">
        <f aca="true" t="shared" si="35" ref="D319:I319">D318/D315/12</f>
        <v>18833.717042777906</v>
      </c>
      <c r="E319" s="134">
        <f t="shared" si="35"/>
        <v>20151.47999360435</v>
      </c>
      <c r="F319" s="134">
        <f>F318/F315/12</f>
        <v>21114.389419252188</v>
      </c>
      <c r="G319" s="134">
        <f t="shared" si="35"/>
        <v>22064.78820269201</v>
      </c>
      <c r="H319" s="134">
        <f t="shared" si="35"/>
        <v>22898.427747491503</v>
      </c>
      <c r="I319" s="134">
        <f t="shared" si="35"/>
        <v>24009.20512820513</v>
      </c>
    </row>
    <row r="320" spans="1:9" s="32" customFormat="1" ht="18.75">
      <c r="A320" s="137" t="s">
        <v>44</v>
      </c>
      <c r="B320" s="138"/>
      <c r="C320" s="138"/>
      <c r="D320" s="138"/>
      <c r="E320" s="138"/>
      <c r="F320" s="138"/>
      <c r="G320" s="138"/>
      <c r="H320" s="138"/>
      <c r="I320" s="138"/>
    </row>
    <row r="321" spans="1:9" s="7" customFormat="1" ht="31.5">
      <c r="A321" s="8" t="s">
        <v>141</v>
      </c>
      <c r="B321" s="20" t="s">
        <v>142</v>
      </c>
      <c r="C321" s="108">
        <v>73.7</v>
      </c>
      <c r="D321" s="108">
        <v>12.4</v>
      </c>
      <c r="E321" s="108">
        <v>1.1</v>
      </c>
      <c r="F321" s="108">
        <v>7</v>
      </c>
      <c r="G321" s="108">
        <v>7.5</v>
      </c>
      <c r="H321" s="108">
        <v>8.4</v>
      </c>
      <c r="I321" s="111">
        <v>9.2</v>
      </c>
    </row>
    <row r="322" spans="1:9" s="7" customFormat="1" ht="47.25">
      <c r="A322" s="8" t="s">
        <v>45</v>
      </c>
      <c r="B322" s="20" t="s">
        <v>142</v>
      </c>
      <c r="C322" s="108">
        <v>26</v>
      </c>
      <c r="D322" s="108">
        <v>-35.095</v>
      </c>
      <c r="E322" s="108">
        <v>-2.4</v>
      </c>
      <c r="F322" s="108">
        <f>-1+F321</f>
        <v>6</v>
      </c>
      <c r="G322" s="108">
        <f>-1+G321</f>
        <v>6.5</v>
      </c>
      <c r="H322" s="108">
        <f>-1+H321</f>
        <v>7.4</v>
      </c>
      <c r="I322" s="108">
        <f>-1+I321</f>
        <v>8.2</v>
      </c>
    </row>
    <row r="323" spans="1:9" s="11" customFormat="1" ht="18.75">
      <c r="A323" s="137" t="s">
        <v>116</v>
      </c>
      <c r="B323" s="138"/>
      <c r="C323" s="138"/>
      <c r="D323" s="138"/>
      <c r="E323" s="138"/>
      <c r="F323" s="138"/>
      <c r="G323" s="138"/>
      <c r="H323" s="138"/>
      <c r="I323" s="138"/>
    </row>
    <row r="324" spans="1:9" ht="33" customHeight="1">
      <c r="A324" s="8" t="s">
        <v>256</v>
      </c>
      <c r="B324" s="20" t="s">
        <v>38</v>
      </c>
      <c r="C324" s="49">
        <v>229</v>
      </c>
      <c r="D324" s="49">
        <v>238</v>
      </c>
      <c r="E324" s="49">
        <v>239</v>
      </c>
      <c r="F324" s="49">
        <v>241</v>
      </c>
      <c r="G324" s="49">
        <v>241</v>
      </c>
      <c r="H324" s="49">
        <v>245</v>
      </c>
      <c r="I324" s="49">
        <v>249</v>
      </c>
    </row>
    <row r="325" spans="1:9" ht="25.5">
      <c r="A325" s="8" t="s">
        <v>247</v>
      </c>
      <c r="B325" s="20" t="s">
        <v>142</v>
      </c>
      <c r="C325" s="43">
        <v>1556.945</v>
      </c>
      <c r="D325" s="42">
        <v>1710.001</v>
      </c>
      <c r="E325" s="42">
        <v>1826.329</v>
      </c>
      <c r="F325" s="42">
        <v>1884.5</v>
      </c>
      <c r="G325" s="42">
        <v>1884.5</v>
      </c>
      <c r="H325" s="42">
        <v>1896.272</v>
      </c>
      <c r="I325" s="42">
        <v>1962.622</v>
      </c>
    </row>
    <row r="326" spans="1:9" ht="63">
      <c r="A326" s="8" t="s">
        <v>208</v>
      </c>
      <c r="B326" s="20" t="s">
        <v>39</v>
      </c>
      <c r="C326" s="86">
        <v>1.458</v>
      </c>
      <c r="D326" s="48">
        <v>1.518</v>
      </c>
      <c r="E326" s="48">
        <v>1.431</v>
      </c>
      <c r="F326" s="48">
        <v>1.458</v>
      </c>
      <c r="G326" s="48">
        <v>1.458</v>
      </c>
      <c r="H326" s="48">
        <v>1.469</v>
      </c>
      <c r="I326" s="48">
        <v>1.484</v>
      </c>
    </row>
    <row r="327" spans="1:9" s="32" customFormat="1" ht="18.75">
      <c r="A327" s="137" t="s">
        <v>117</v>
      </c>
      <c r="B327" s="138"/>
      <c r="C327" s="138"/>
      <c r="D327" s="138"/>
      <c r="E327" s="138"/>
      <c r="F327" s="138"/>
      <c r="G327" s="138"/>
      <c r="H327" s="138"/>
      <c r="I327" s="138"/>
    </row>
    <row r="328" spans="1:9" s="9" customFormat="1" ht="15.75">
      <c r="A328" s="63" t="s">
        <v>59</v>
      </c>
      <c r="B328" s="20"/>
      <c r="C328" s="104"/>
      <c r="D328" s="104"/>
      <c r="E328" s="104"/>
      <c r="F328" s="104"/>
      <c r="G328" s="104"/>
      <c r="H328" s="104"/>
      <c r="I328" s="104"/>
    </row>
    <row r="329" spans="1:9" s="9" customFormat="1" ht="63">
      <c r="A329" s="37" t="s">
        <v>206</v>
      </c>
      <c r="B329" s="20" t="s">
        <v>249</v>
      </c>
      <c r="C329" s="117">
        <f>3050/1467*100</f>
        <v>207.90729379686437</v>
      </c>
      <c r="D329" s="117">
        <f>3091/1284*100</f>
        <v>240.73208722741435</v>
      </c>
      <c r="E329" s="117">
        <f>3223/1284*100</f>
        <v>251.01246105919003</v>
      </c>
      <c r="F329" s="117">
        <f>3331/1284*100</f>
        <v>259.4236760124611</v>
      </c>
      <c r="G329" s="117">
        <f>3386/1734*100</f>
        <v>195.27104959630913</v>
      </c>
      <c r="H329" s="117">
        <f>3455/1974*100</f>
        <v>175.02532928064844</v>
      </c>
      <c r="I329" s="117">
        <f>3439/2174*100</f>
        <v>158.18767249310028</v>
      </c>
    </row>
    <row r="330" spans="1:9" s="9" customFormat="1" ht="47.25" customHeight="1">
      <c r="A330" s="37" t="s">
        <v>190</v>
      </c>
      <c r="B330" s="20" t="s">
        <v>54</v>
      </c>
      <c r="C330" s="108">
        <f>(269+30)/43186*10000</f>
        <v>69.23540036122817</v>
      </c>
      <c r="D330" s="107">
        <f>(269+30)/42412*10000</f>
        <v>70.49891540130152</v>
      </c>
      <c r="E330" s="107">
        <f>(269+30)/41078*10000</f>
        <v>72.78835386338186</v>
      </c>
      <c r="F330" s="118">
        <f>(266+30)/40578*10000</f>
        <v>72.94593129281877</v>
      </c>
      <c r="G330" s="118">
        <f>(263+30)/40090*10000</f>
        <v>73.08555749563482</v>
      </c>
      <c r="H330" s="118">
        <f>(263+30)/39640*10000</f>
        <v>73.91523713420787</v>
      </c>
      <c r="I330" s="118">
        <f>(263+30)/39190*10000</f>
        <v>74.7639704006124</v>
      </c>
    </row>
    <row r="331" spans="1:9" s="9" customFormat="1" ht="63">
      <c r="A331" s="37" t="s">
        <v>191</v>
      </c>
      <c r="B331" s="20" t="s">
        <v>54</v>
      </c>
      <c r="C331" s="108">
        <f>(104+20)/43186*10000</f>
        <v>28.713008845459175</v>
      </c>
      <c r="D331" s="107">
        <f>(104+20)/42412*10000</f>
        <v>29.237008393850797</v>
      </c>
      <c r="E331" s="107">
        <f>(104+20)/41078*10000</f>
        <v>30.18647451190418</v>
      </c>
      <c r="F331" s="118">
        <f>(104+20)/40578*10000</f>
        <v>30.55843067672138</v>
      </c>
      <c r="G331" s="118">
        <f>(104+20)/40090*10000</f>
        <v>30.930406585183338</v>
      </c>
      <c r="H331" s="118">
        <f>(104+20)/39640*10000</f>
        <v>31.281533804238144</v>
      </c>
      <c r="I331" s="118">
        <f>(104+20)/39190*10000</f>
        <v>31.640724674661904</v>
      </c>
    </row>
    <row r="332" spans="1:9" s="9" customFormat="1" ht="38.25">
      <c r="A332" s="37" t="s">
        <v>192</v>
      </c>
      <c r="B332" s="20" t="s">
        <v>54</v>
      </c>
      <c r="C332" s="108">
        <f>8/43186*10000</f>
        <v>1.8524521835780114</v>
      </c>
      <c r="D332" s="107">
        <f>8/42412*10000</f>
        <v>1.8862586060548903</v>
      </c>
      <c r="E332" s="107">
        <f>8/41078*10000</f>
        <v>1.9475144846389794</v>
      </c>
      <c r="F332" s="118">
        <f>5/40578*10000</f>
        <v>1.2321947853516684</v>
      </c>
      <c r="G332" s="118">
        <f>5/40090*10000</f>
        <v>1.2471938139186831</v>
      </c>
      <c r="H332" s="118">
        <f>5/39640*10000</f>
        <v>1.2613521695257317</v>
      </c>
      <c r="I332" s="118">
        <f>5/39190*10000</f>
        <v>1.2758356723653992</v>
      </c>
    </row>
    <row r="333" spans="1:9" s="9" customFormat="1" ht="51">
      <c r="A333" s="37" t="s">
        <v>193</v>
      </c>
      <c r="B333" s="20" t="s">
        <v>55</v>
      </c>
      <c r="C333" s="108">
        <f>(374355/512+50)/43186*10000</f>
        <v>180.8831819050155</v>
      </c>
      <c r="D333" s="107">
        <f>(368906/512+50)/42412*10000</f>
        <v>181.67488711921152</v>
      </c>
      <c r="E333" s="107">
        <f>(357957/512+37)/41078*10000</f>
        <v>179.204139837626</v>
      </c>
      <c r="F333" s="118">
        <f>(368800/512+37)/40578*10000</f>
        <v>186.63130267632707</v>
      </c>
      <c r="G333" s="118">
        <f>(383361/512+37)/40090*10000</f>
        <v>195.9969950424046</v>
      </c>
      <c r="H333" s="118">
        <f>(383361/512+37)/39640*10000</f>
        <v>198.22198615665994</v>
      </c>
      <c r="I333" s="118">
        <f>(383361/512+37)/39190*10000</f>
        <v>200.49807428553203</v>
      </c>
    </row>
    <row r="334" spans="1:9" s="9" customFormat="1" ht="38.25">
      <c r="A334" s="37" t="s">
        <v>194</v>
      </c>
      <c r="B334" s="20" t="s">
        <v>56</v>
      </c>
      <c r="C334" s="108">
        <f>(123+7+4)/43186*10000</f>
        <v>31.02857407493169</v>
      </c>
      <c r="D334" s="107">
        <f>(131+7+4)/42412*10000</f>
        <v>33.4810902574743</v>
      </c>
      <c r="E334" s="107">
        <f>(131+7+4)/41078*10000</f>
        <v>34.568382102341886</v>
      </c>
      <c r="F334" s="118">
        <f>(127+7+4)/40578*10000</f>
        <v>34.008576075706046</v>
      </c>
      <c r="G334" s="118">
        <f>(136+7+4)/40090*10000</f>
        <v>36.66749812920928</v>
      </c>
      <c r="H334" s="118">
        <f>(136+7+4)/39640*10000</f>
        <v>37.08375378405651</v>
      </c>
      <c r="I334" s="118">
        <f>(136+7+4)/39190*10000</f>
        <v>37.50956876754274</v>
      </c>
    </row>
    <row r="335" spans="1:9" s="9" customFormat="1" ht="38.25">
      <c r="A335" s="37" t="s">
        <v>195</v>
      </c>
      <c r="B335" s="20" t="s">
        <v>56</v>
      </c>
      <c r="C335" s="108">
        <f>(512+21+31)/43186*10000</f>
        <v>130.5978789422498</v>
      </c>
      <c r="D335" s="107">
        <f>(477+21+394)/42412*10000</f>
        <v>210.31783457512026</v>
      </c>
      <c r="E335" s="107">
        <f>(484+21+23+12)/41078*10000</f>
        <v>131.45722771313112</v>
      </c>
      <c r="F335" s="118">
        <f>(484+21+28)/40578*10000</f>
        <v>131.35196411848784</v>
      </c>
      <c r="G335" s="118">
        <f>(498+21+32)/40090*10000</f>
        <v>137.44075829383885</v>
      </c>
      <c r="H335" s="118">
        <f>(498+21+32)/39640*10000</f>
        <v>139.00100908173562</v>
      </c>
      <c r="I335" s="118">
        <f>(498+21+36)/39190*10000</f>
        <v>141.61775963255934</v>
      </c>
    </row>
    <row r="336" spans="1:9" s="9" customFormat="1" ht="47.25">
      <c r="A336" s="37" t="s">
        <v>196</v>
      </c>
      <c r="B336" s="20" t="s">
        <v>57</v>
      </c>
      <c r="C336" s="119">
        <v>18.5</v>
      </c>
      <c r="D336" s="119">
        <v>18.9</v>
      </c>
      <c r="E336" s="119">
        <v>19.5</v>
      </c>
      <c r="F336" s="119">
        <v>19.7</v>
      </c>
      <c r="G336" s="119">
        <v>19.7</v>
      </c>
      <c r="H336" s="119">
        <v>20.2</v>
      </c>
      <c r="I336" s="120">
        <v>20.4</v>
      </c>
    </row>
    <row r="337" spans="1:9" s="9" customFormat="1" ht="31.5">
      <c r="A337" s="37" t="s">
        <v>197</v>
      </c>
      <c r="B337" s="20" t="s">
        <v>38</v>
      </c>
      <c r="C337" s="119">
        <v>8</v>
      </c>
      <c r="D337" s="119">
        <v>8</v>
      </c>
      <c r="E337" s="119">
        <v>8</v>
      </c>
      <c r="F337" s="119">
        <v>8</v>
      </c>
      <c r="G337" s="119">
        <v>8</v>
      </c>
      <c r="H337" s="119">
        <v>8</v>
      </c>
      <c r="I337" s="120">
        <v>8</v>
      </c>
    </row>
    <row r="338" spans="1:9" s="9" customFormat="1" ht="31.5">
      <c r="A338" s="37" t="s">
        <v>198</v>
      </c>
      <c r="B338" s="20" t="s">
        <v>38</v>
      </c>
      <c r="C338" s="119">
        <v>10</v>
      </c>
      <c r="D338" s="119">
        <v>10</v>
      </c>
      <c r="E338" s="119">
        <v>10</v>
      </c>
      <c r="F338" s="119">
        <v>10</v>
      </c>
      <c r="G338" s="119">
        <v>10</v>
      </c>
      <c r="H338" s="119">
        <v>10</v>
      </c>
      <c r="I338" s="120">
        <v>10</v>
      </c>
    </row>
    <row r="339" spans="1:9" s="9" customFormat="1" ht="25.5">
      <c r="A339" s="37" t="s">
        <v>199</v>
      </c>
      <c r="B339" s="20" t="s">
        <v>109</v>
      </c>
      <c r="C339" s="119">
        <v>1.5</v>
      </c>
      <c r="D339" s="119">
        <v>1.6</v>
      </c>
      <c r="E339" s="119">
        <v>1.6</v>
      </c>
      <c r="F339" s="119">
        <v>1.7</v>
      </c>
      <c r="G339" s="119">
        <v>1.7</v>
      </c>
      <c r="H339" s="119">
        <v>1.7</v>
      </c>
      <c r="I339" s="120">
        <v>1.7</v>
      </c>
    </row>
    <row r="340" spans="1:9" s="9" customFormat="1" ht="31.5">
      <c r="A340" s="37" t="s">
        <v>259</v>
      </c>
      <c r="B340" s="20" t="s">
        <v>110</v>
      </c>
      <c r="C340" s="119">
        <v>14398.9</v>
      </c>
      <c r="D340" s="119">
        <v>14959.9</v>
      </c>
      <c r="E340" s="119">
        <v>15622.5</v>
      </c>
      <c r="F340" s="119">
        <v>16057.4</v>
      </c>
      <c r="G340" s="119">
        <v>16382.5</v>
      </c>
      <c r="H340" s="119">
        <v>16389</v>
      </c>
      <c r="I340" s="120">
        <v>16577.2</v>
      </c>
    </row>
    <row r="341" spans="1:9" s="9" customFormat="1" ht="51">
      <c r="A341" s="37" t="s">
        <v>200</v>
      </c>
      <c r="B341" s="20" t="s">
        <v>111</v>
      </c>
      <c r="C341" s="119">
        <v>46.311</v>
      </c>
      <c r="D341" s="119">
        <v>47.156</v>
      </c>
      <c r="E341" s="119">
        <v>48.687</v>
      </c>
      <c r="F341" s="119">
        <v>49.287</v>
      </c>
      <c r="G341" s="119">
        <v>49.887</v>
      </c>
      <c r="H341" s="119">
        <v>50.454</v>
      </c>
      <c r="I341" s="120">
        <v>51.033</v>
      </c>
    </row>
    <row r="342" spans="1:9" s="9" customFormat="1" ht="110.25">
      <c r="A342" s="8" t="s">
        <v>58</v>
      </c>
      <c r="B342" s="20" t="s">
        <v>6</v>
      </c>
      <c r="C342" s="108">
        <v>83</v>
      </c>
      <c r="D342" s="108">
        <v>80</v>
      </c>
      <c r="E342" s="108">
        <v>82</v>
      </c>
      <c r="F342" s="108">
        <v>82</v>
      </c>
      <c r="G342" s="108">
        <v>82</v>
      </c>
      <c r="H342" s="108">
        <v>82</v>
      </c>
      <c r="I342" s="108">
        <v>82</v>
      </c>
    </row>
    <row r="343" spans="1:9" s="9" customFormat="1" ht="15.75">
      <c r="A343" s="63" t="s">
        <v>15</v>
      </c>
      <c r="B343" s="20"/>
      <c r="C343" s="109"/>
      <c r="D343" s="109"/>
      <c r="E343" s="108"/>
      <c r="F343" s="108"/>
      <c r="G343" s="108"/>
      <c r="H343" s="108"/>
      <c r="I343" s="108"/>
    </row>
    <row r="344" spans="1:9" s="9" customFormat="1" ht="15.75">
      <c r="A344" s="64" t="s">
        <v>201</v>
      </c>
      <c r="B344" s="20" t="s">
        <v>6</v>
      </c>
      <c r="C344" s="108">
        <v>80</v>
      </c>
      <c r="D344" s="108">
        <v>74</v>
      </c>
      <c r="E344" s="108">
        <v>77</v>
      </c>
      <c r="F344" s="108">
        <v>77</v>
      </c>
      <c r="G344" s="108">
        <v>77</v>
      </c>
      <c r="H344" s="108">
        <v>77</v>
      </c>
      <c r="I344" s="108">
        <v>77</v>
      </c>
    </row>
    <row r="345" spans="1:9" s="9" customFormat="1" ht="15.75">
      <c r="A345" s="65" t="s">
        <v>202</v>
      </c>
      <c r="B345" s="39" t="s">
        <v>6</v>
      </c>
      <c r="C345" s="108">
        <v>88</v>
      </c>
      <c r="D345" s="108">
        <v>89</v>
      </c>
      <c r="E345" s="108">
        <v>90</v>
      </c>
      <c r="F345" s="108">
        <v>90</v>
      </c>
      <c r="G345" s="108">
        <v>90</v>
      </c>
      <c r="H345" s="108">
        <v>90</v>
      </c>
      <c r="I345" s="108">
        <v>90</v>
      </c>
    </row>
    <row r="346" spans="1:9" s="9" customFormat="1" ht="78.75">
      <c r="A346" s="66" t="s">
        <v>254</v>
      </c>
      <c r="B346" s="20" t="s">
        <v>250</v>
      </c>
      <c r="C346" s="121">
        <f>491/43410*100</f>
        <v>1.1310757889887124</v>
      </c>
      <c r="D346" s="121">
        <f>446/42799*100</f>
        <v>1.0420804224397766</v>
      </c>
      <c r="E346" s="121">
        <f>328/42412*100</f>
        <v>0.773366028482505</v>
      </c>
      <c r="F346" s="121">
        <f>276/41078*100</f>
        <v>0.6718924972004479</v>
      </c>
      <c r="G346" s="121">
        <f>271/41078*100</f>
        <v>0.6597205316714543</v>
      </c>
      <c r="H346" s="121">
        <f>311/41078*100</f>
        <v>0.7570962559034033</v>
      </c>
      <c r="I346" s="121">
        <f>325/41078*100</f>
        <v>0.7911777593845855</v>
      </c>
    </row>
    <row r="347" spans="1:9" s="33" customFormat="1" ht="18.75">
      <c r="A347" s="137" t="s">
        <v>221</v>
      </c>
      <c r="B347" s="138"/>
      <c r="C347" s="138"/>
      <c r="D347" s="138"/>
      <c r="E347" s="138"/>
      <c r="F347" s="138"/>
      <c r="G347" s="138"/>
      <c r="H347" s="138"/>
      <c r="I347" s="138"/>
    </row>
    <row r="348" spans="1:9" s="5" customFormat="1" ht="31.5">
      <c r="A348" s="8" t="s">
        <v>226</v>
      </c>
      <c r="B348" s="20" t="s">
        <v>37</v>
      </c>
      <c r="C348" s="109">
        <v>345.4</v>
      </c>
      <c r="D348" s="109">
        <v>345.4</v>
      </c>
      <c r="E348" s="109">
        <v>345.4</v>
      </c>
      <c r="F348" s="109">
        <v>344.9</v>
      </c>
      <c r="G348" s="109">
        <v>344.9</v>
      </c>
      <c r="H348" s="109">
        <v>344.9</v>
      </c>
      <c r="I348" s="109">
        <v>344.9</v>
      </c>
    </row>
    <row r="349" spans="1:9" s="5" customFormat="1" ht="15.75">
      <c r="A349" s="8" t="s">
        <v>227</v>
      </c>
      <c r="B349" s="20"/>
      <c r="C349" s="109"/>
      <c r="D349" s="109"/>
      <c r="E349" s="109"/>
      <c r="F349" s="109"/>
      <c r="G349" s="109"/>
      <c r="H349" s="109"/>
      <c r="I349" s="109"/>
    </row>
    <row r="350" spans="1:9" s="5" customFormat="1" ht="15.75">
      <c r="A350" s="8" t="s">
        <v>228</v>
      </c>
      <c r="B350" s="20" t="s">
        <v>37</v>
      </c>
      <c r="C350" s="109">
        <v>344.9</v>
      </c>
      <c r="D350" s="109">
        <v>344.9</v>
      </c>
      <c r="E350" s="109">
        <v>344.9</v>
      </c>
      <c r="F350" s="109">
        <v>344.9</v>
      </c>
      <c r="G350" s="109">
        <v>344.9</v>
      </c>
      <c r="H350" s="109">
        <v>344.9</v>
      </c>
      <c r="I350" s="109">
        <v>344.9</v>
      </c>
    </row>
    <row r="351" spans="1:9" s="5" customFormat="1" ht="15.75">
      <c r="A351" s="8" t="s">
        <v>229</v>
      </c>
      <c r="B351" s="20" t="s">
        <v>37</v>
      </c>
      <c r="C351" s="109">
        <v>43.5</v>
      </c>
      <c r="D351" s="109">
        <v>0.5</v>
      </c>
      <c r="E351" s="109">
        <v>0.5</v>
      </c>
      <c r="F351" s="109">
        <v>0</v>
      </c>
      <c r="G351" s="109">
        <v>0</v>
      </c>
      <c r="H351" s="109">
        <v>0</v>
      </c>
      <c r="I351" s="109">
        <v>0</v>
      </c>
    </row>
    <row r="352" spans="1:9" s="5" customFormat="1" ht="47.25">
      <c r="A352" s="8" t="s">
        <v>230</v>
      </c>
      <c r="B352" s="20" t="s">
        <v>37</v>
      </c>
      <c r="C352" s="109">
        <v>330.4</v>
      </c>
      <c r="D352" s="109">
        <v>330.4</v>
      </c>
      <c r="E352" s="109">
        <v>330.4</v>
      </c>
      <c r="F352" s="109">
        <v>329.9</v>
      </c>
      <c r="G352" s="109">
        <v>329.9</v>
      </c>
      <c r="H352" s="109">
        <v>329.9</v>
      </c>
      <c r="I352" s="109">
        <v>329.9</v>
      </c>
    </row>
    <row r="353" spans="1:9" s="5" customFormat="1" ht="15.75">
      <c r="A353" s="8" t="s">
        <v>227</v>
      </c>
      <c r="B353" s="20"/>
      <c r="C353" s="109"/>
      <c r="D353" s="109"/>
      <c r="E353" s="109"/>
      <c r="F353" s="109"/>
      <c r="G353" s="109"/>
      <c r="H353" s="109"/>
      <c r="I353" s="109"/>
    </row>
    <row r="354" spans="1:9" s="5" customFormat="1" ht="15.75">
      <c r="A354" s="8" t="s">
        <v>228</v>
      </c>
      <c r="B354" s="20" t="s">
        <v>37</v>
      </c>
      <c r="C354" s="109">
        <v>329.9</v>
      </c>
      <c r="D354" s="109">
        <v>329.9</v>
      </c>
      <c r="E354" s="109">
        <v>329.9</v>
      </c>
      <c r="F354" s="109">
        <v>329.9</v>
      </c>
      <c r="G354" s="109">
        <v>329.9</v>
      </c>
      <c r="H354" s="109">
        <v>329.9</v>
      </c>
      <c r="I354" s="109">
        <v>329.9</v>
      </c>
    </row>
    <row r="355" spans="1:9" s="5" customFormat="1" ht="15.75">
      <c r="A355" s="8" t="s">
        <v>229</v>
      </c>
      <c r="B355" s="20" t="s">
        <v>37</v>
      </c>
      <c r="C355" s="109">
        <v>0.5</v>
      </c>
      <c r="D355" s="109">
        <v>0.5</v>
      </c>
      <c r="E355" s="109">
        <v>0.5</v>
      </c>
      <c r="F355" s="109">
        <v>0</v>
      </c>
      <c r="G355" s="109">
        <v>0</v>
      </c>
      <c r="H355" s="109">
        <v>0</v>
      </c>
      <c r="I355" s="109">
        <v>0</v>
      </c>
    </row>
    <row r="356" spans="1:9" s="6" customFormat="1" ht="63">
      <c r="A356" s="8" t="s">
        <v>85</v>
      </c>
      <c r="B356" s="20" t="s">
        <v>37</v>
      </c>
      <c r="C356" s="109">
        <v>0</v>
      </c>
      <c r="D356" s="109">
        <v>0</v>
      </c>
      <c r="E356" s="109">
        <v>0</v>
      </c>
      <c r="F356" s="109">
        <v>0</v>
      </c>
      <c r="G356" s="109">
        <v>0</v>
      </c>
      <c r="H356" s="109">
        <v>0</v>
      </c>
      <c r="I356" s="109">
        <v>0</v>
      </c>
    </row>
    <row r="357" spans="1:9" s="32" customFormat="1" ht="18.75">
      <c r="A357" s="139" t="s">
        <v>253</v>
      </c>
      <c r="B357" s="140"/>
      <c r="C357" s="140"/>
      <c r="D357" s="140"/>
      <c r="E357" s="140"/>
      <c r="F357" s="140"/>
      <c r="G357" s="140"/>
      <c r="H357" s="140"/>
      <c r="I357" s="140"/>
    </row>
    <row r="358" spans="1:9" s="9" customFormat="1" ht="47.25">
      <c r="A358" s="67" t="s">
        <v>50</v>
      </c>
      <c r="B358" s="20" t="s">
        <v>179</v>
      </c>
      <c r="C358" s="113">
        <v>3.835</v>
      </c>
      <c r="D358" s="113">
        <v>8.875</v>
      </c>
      <c r="E358" s="113">
        <v>5.282</v>
      </c>
      <c r="F358" s="113">
        <v>5.2</v>
      </c>
      <c r="G358" s="113">
        <v>5.36</v>
      </c>
      <c r="H358" s="113">
        <v>5.72</v>
      </c>
      <c r="I358" s="113">
        <v>6.68</v>
      </c>
    </row>
    <row r="359" spans="1:9" s="9" customFormat="1" ht="15.75">
      <c r="A359" s="68" t="s">
        <v>15</v>
      </c>
      <c r="B359" s="20"/>
      <c r="C359" s="115"/>
      <c r="D359" s="115"/>
      <c r="E359" s="115"/>
      <c r="F359" s="115"/>
      <c r="G359" s="115"/>
      <c r="H359" s="115"/>
      <c r="I359" s="115"/>
    </row>
    <row r="360" spans="1:9" s="9" customFormat="1" ht="38.25">
      <c r="A360" s="69" t="s">
        <v>180</v>
      </c>
      <c r="B360" s="20" t="s">
        <v>179</v>
      </c>
      <c r="C360" s="115">
        <v>0</v>
      </c>
      <c r="D360" s="115">
        <v>0</v>
      </c>
      <c r="E360" s="115">
        <v>0</v>
      </c>
      <c r="F360" s="115">
        <v>0</v>
      </c>
      <c r="G360" s="115">
        <v>0</v>
      </c>
      <c r="H360" s="115">
        <v>0</v>
      </c>
      <c r="I360" s="115">
        <v>0</v>
      </c>
    </row>
    <row r="361" spans="1:9" s="9" customFormat="1" ht="63">
      <c r="A361" s="69" t="s">
        <v>181</v>
      </c>
      <c r="B361" s="20" t="s">
        <v>179</v>
      </c>
      <c r="C361" s="115">
        <v>3.835</v>
      </c>
      <c r="D361" s="186">
        <v>5.943</v>
      </c>
      <c r="E361" s="186">
        <v>4.782</v>
      </c>
      <c r="F361" s="113">
        <v>5.2</v>
      </c>
      <c r="G361" s="113">
        <v>5.36</v>
      </c>
      <c r="H361" s="113">
        <v>5.72</v>
      </c>
      <c r="I361" s="113">
        <v>6.68</v>
      </c>
    </row>
    <row r="362" spans="1:9" s="9" customFormat="1" ht="47.25">
      <c r="A362" s="68" t="s">
        <v>187</v>
      </c>
      <c r="B362" s="20" t="s">
        <v>182</v>
      </c>
      <c r="C362" s="115">
        <v>140.1</v>
      </c>
      <c r="D362" s="115">
        <v>110.1</v>
      </c>
      <c r="E362" s="115">
        <v>107.7</v>
      </c>
      <c r="F362" s="115">
        <v>105.1</v>
      </c>
      <c r="G362" s="115">
        <v>103.6</v>
      </c>
      <c r="H362" s="115">
        <v>101.7</v>
      </c>
      <c r="I362" s="115">
        <v>98.8</v>
      </c>
    </row>
    <row r="363" spans="1:9" s="9" customFormat="1" ht="15.75">
      <c r="A363" s="68" t="s">
        <v>15</v>
      </c>
      <c r="B363" s="20"/>
      <c r="C363" s="115"/>
      <c r="D363" s="115"/>
      <c r="E363" s="115"/>
      <c r="F363" s="115"/>
      <c r="G363" s="115"/>
      <c r="H363" s="115"/>
      <c r="I363" s="115"/>
    </row>
    <row r="364" spans="1:9" s="9" customFormat="1" ht="47.25">
      <c r="A364" s="69" t="s">
        <v>183</v>
      </c>
      <c r="B364" s="20" t="s">
        <v>182</v>
      </c>
      <c r="C364" s="115">
        <v>42.4</v>
      </c>
      <c r="D364" s="115">
        <v>57.2</v>
      </c>
      <c r="E364" s="115">
        <v>57.8</v>
      </c>
      <c r="F364" s="115">
        <v>59.1</v>
      </c>
      <c r="G364" s="115">
        <v>61.4</v>
      </c>
      <c r="H364" s="115">
        <v>61.4</v>
      </c>
      <c r="I364" s="115">
        <v>61.4</v>
      </c>
    </row>
    <row r="365" spans="1:9" s="9" customFormat="1" ht="47.25">
      <c r="A365" s="70" t="s">
        <v>51</v>
      </c>
      <c r="B365" s="20" t="s">
        <v>52</v>
      </c>
      <c r="C365" s="115">
        <v>24.1</v>
      </c>
      <c r="D365" s="115">
        <v>24.7</v>
      </c>
      <c r="E365" s="115">
        <v>25.6</v>
      </c>
      <c r="F365" s="115">
        <v>26</v>
      </c>
      <c r="G365" s="115">
        <v>26.2</v>
      </c>
      <c r="H365" s="115">
        <v>27</v>
      </c>
      <c r="I365" s="115">
        <v>27.5</v>
      </c>
    </row>
    <row r="366" spans="1:9" s="9" customFormat="1" ht="63">
      <c r="A366" s="71" t="s">
        <v>188</v>
      </c>
      <c r="B366" s="20" t="s">
        <v>153</v>
      </c>
      <c r="C366" s="115">
        <v>19</v>
      </c>
      <c r="D366" s="115">
        <v>129</v>
      </c>
      <c r="E366" s="115">
        <v>68</v>
      </c>
      <c r="F366" s="115">
        <v>11</v>
      </c>
      <c r="G366" s="115">
        <v>11</v>
      </c>
      <c r="H366" s="115">
        <v>11</v>
      </c>
      <c r="I366" s="115">
        <v>11</v>
      </c>
    </row>
    <row r="367" spans="1:9" s="9" customFormat="1" ht="63">
      <c r="A367" s="72" t="s">
        <v>189</v>
      </c>
      <c r="B367" s="20" t="s">
        <v>179</v>
      </c>
      <c r="C367" s="115">
        <v>0.856</v>
      </c>
      <c r="D367" s="115">
        <v>5.189</v>
      </c>
      <c r="E367" s="115">
        <v>1.538</v>
      </c>
      <c r="F367" s="115">
        <v>0.495</v>
      </c>
      <c r="G367" s="115">
        <v>0.495</v>
      </c>
      <c r="H367" s="115">
        <v>0.495</v>
      </c>
      <c r="I367" s="115">
        <v>0.495</v>
      </c>
    </row>
    <row r="368" spans="1:9" s="9" customFormat="1" ht="47.25">
      <c r="A368" s="72" t="s">
        <v>260</v>
      </c>
      <c r="B368" s="20" t="s">
        <v>6</v>
      </c>
      <c r="C368" s="115">
        <v>100</v>
      </c>
      <c r="D368" s="115">
        <v>100</v>
      </c>
      <c r="E368" s="115">
        <v>100</v>
      </c>
      <c r="F368" s="115">
        <v>100</v>
      </c>
      <c r="G368" s="115">
        <v>100</v>
      </c>
      <c r="H368" s="115">
        <v>100</v>
      </c>
      <c r="I368" s="115">
        <v>100</v>
      </c>
    </row>
    <row r="369" spans="1:9" s="9" customFormat="1" ht="47.25">
      <c r="A369" s="70" t="s">
        <v>207</v>
      </c>
      <c r="B369" s="20" t="s">
        <v>209</v>
      </c>
      <c r="C369" s="115">
        <v>0.04</v>
      </c>
      <c r="D369" s="115">
        <v>0.01</v>
      </c>
      <c r="E369" s="115">
        <v>0.8</v>
      </c>
      <c r="F369" s="115">
        <v>0</v>
      </c>
      <c r="G369" s="115">
        <v>0</v>
      </c>
      <c r="H369" s="115">
        <v>0</v>
      </c>
      <c r="I369" s="115">
        <v>0</v>
      </c>
    </row>
    <row r="370" spans="1:9" s="9" customFormat="1" ht="47.25">
      <c r="A370" s="73" t="s">
        <v>53</v>
      </c>
      <c r="B370" s="54" t="s">
        <v>46</v>
      </c>
      <c r="C370" s="115">
        <v>256.5</v>
      </c>
      <c r="D370" s="115">
        <v>302.2</v>
      </c>
      <c r="E370" s="115">
        <v>358.9</v>
      </c>
      <c r="F370" s="115">
        <v>398.5</v>
      </c>
      <c r="G370" s="115">
        <v>462.3</v>
      </c>
      <c r="H370" s="115">
        <v>536.2</v>
      </c>
      <c r="I370" s="115">
        <v>622</v>
      </c>
    </row>
    <row r="371" spans="1:9" s="30" customFormat="1" ht="18.75">
      <c r="A371" s="137" t="s">
        <v>118</v>
      </c>
      <c r="B371" s="138"/>
      <c r="C371" s="138"/>
      <c r="D371" s="138"/>
      <c r="E371" s="138"/>
      <c r="F371" s="138"/>
      <c r="G371" s="138"/>
      <c r="H371" s="138"/>
      <c r="I371" s="138"/>
    </row>
    <row r="372" spans="1:9" s="11" customFormat="1" ht="78.75">
      <c r="A372" s="66" t="s">
        <v>137</v>
      </c>
      <c r="B372" s="97" t="s">
        <v>122</v>
      </c>
      <c r="C372" s="122">
        <v>1128192</v>
      </c>
      <c r="D372" s="122">
        <v>846625</v>
      </c>
      <c r="E372" s="122">
        <v>905097</v>
      </c>
      <c r="F372" s="122">
        <v>1025859</v>
      </c>
      <c r="G372" s="122">
        <v>1008883</v>
      </c>
      <c r="H372" s="122">
        <v>965714</v>
      </c>
      <c r="I372" s="122">
        <v>923615</v>
      </c>
    </row>
    <row r="373" spans="1:9" s="30" customFormat="1" ht="18.75">
      <c r="A373" s="137" t="s">
        <v>119</v>
      </c>
      <c r="B373" s="138"/>
      <c r="C373" s="138"/>
      <c r="D373" s="138"/>
      <c r="E373" s="138"/>
      <c r="F373" s="138"/>
      <c r="G373" s="138"/>
      <c r="H373" s="138"/>
      <c r="I373" s="138"/>
    </row>
    <row r="374" spans="1:9" s="27" customFormat="1" ht="15.75">
      <c r="A374" s="66" t="s">
        <v>123</v>
      </c>
      <c r="B374" s="97" t="s">
        <v>134</v>
      </c>
      <c r="C374" s="123">
        <v>17112380</v>
      </c>
      <c r="D374" s="124">
        <v>17112380</v>
      </c>
      <c r="E374" s="124">
        <v>17112380</v>
      </c>
      <c r="F374" s="124">
        <v>17112380</v>
      </c>
      <c r="G374" s="124">
        <v>17112380</v>
      </c>
      <c r="H374" s="124">
        <v>17112380</v>
      </c>
      <c r="I374" s="123">
        <v>17112380</v>
      </c>
    </row>
    <row r="375" spans="1:9" s="27" customFormat="1" ht="15.75">
      <c r="A375" s="66" t="s">
        <v>15</v>
      </c>
      <c r="B375" s="97"/>
      <c r="C375" s="125"/>
      <c r="D375" s="187"/>
      <c r="E375" s="122"/>
      <c r="F375" s="125"/>
      <c r="G375" s="125"/>
      <c r="H375" s="125"/>
      <c r="I375" s="126"/>
    </row>
    <row r="376" spans="1:9" s="27" customFormat="1" ht="31.5">
      <c r="A376" s="74" t="s">
        <v>138</v>
      </c>
      <c r="B376" s="97" t="s">
        <v>134</v>
      </c>
      <c r="C376" s="127">
        <v>1672834</v>
      </c>
      <c r="D376" s="127">
        <v>1672664</v>
      </c>
      <c r="E376" s="122">
        <v>1646740</v>
      </c>
      <c r="F376" s="127">
        <v>1646680</v>
      </c>
      <c r="G376" s="127">
        <v>1646660</v>
      </c>
      <c r="H376" s="127">
        <v>1646640</v>
      </c>
      <c r="I376" s="127">
        <v>1646620</v>
      </c>
    </row>
    <row r="377" spans="1:9" s="27" customFormat="1" ht="31.5">
      <c r="A377" s="74" t="s">
        <v>139</v>
      </c>
      <c r="B377" s="97" t="s">
        <v>134</v>
      </c>
      <c r="C377" s="123">
        <v>15439546</v>
      </c>
      <c r="D377" s="124">
        <v>15439716</v>
      </c>
      <c r="E377" s="124">
        <f>E374-E376</f>
        <v>15465640</v>
      </c>
      <c r="F377" s="124">
        <f>F374-F376</f>
        <v>15465700</v>
      </c>
      <c r="G377" s="124">
        <f>G374-G376</f>
        <v>15465720</v>
      </c>
      <c r="H377" s="124">
        <f>H374-H376</f>
        <v>15465740</v>
      </c>
      <c r="I377" s="124">
        <f>I374-I376</f>
        <v>15465760</v>
      </c>
    </row>
    <row r="378" spans="1:9" s="27" customFormat="1" ht="31.5">
      <c r="A378" s="75" t="s">
        <v>124</v>
      </c>
      <c r="B378" s="97" t="s">
        <v>134</v>
      </c>
      <c r="C378" s="127">
        <v>148650</v>
      </c>
      <c r="D378" s="122">
        <f aca="true" t="shared" si="36" ref="D378:I378">D379+D380</f>
        <v>148760</v>
      </c>
      <c r="E378" s="122">
        <f t="shared" si="36"/>
        <v>150760</v>
      </c>
      <c r="F378" s="122">
        <f t="shared" si="36"/>
        <v>150770</v>
      </c>
      <c r="G378" s="122">
        <f t="shared" si="36"/>
        <v>150800</v>
      </c>
      <c r="H378" s="122">
        <f t="shared" si="36"/>
        <v>150780</v>
      </c>
      <c r="I378" s="122">
        <f t="shared" si="36"/>
        <v>150790</v>
      </c>
    </row>
    <row r="379" spans="1:9" s="11" customFormat="1" ht="31.5">
      <c r="A379" s="76" t="s">
        <v>125</v>
      </c>
      <c r="B379" s="97" t="s">
        <v>134</v>
      </c>
      <c r="C379" s="127">
        <v>129340</v>
      </c>
      <c r="D379" s="122">
        <v>129340</v>
      </c>
      <c r="E379" s="122">
        <v>129340</v>
      </c>
      <c r="F379" s="122">
        <v>129330</v>
      </c>
      <c r="G379" s="122">
        <v>129340</v>
      </c>
      <c r="H379" s="122">
        <v>129320</v>
      </c>
      <c r="I379" s="127">
        <v>129310</v>
      </c>
    </row>
    <row r="380" spans="1:9" s="11" customFormat="1" ht="15.75">
      <c r="A380" s="76" t="s">
        <v>126</v>
      </c>
      <c r="B380" s="97" t="s">
        <v>134</v>
      </c>
      <c r="C380" s="127">
        <v>19310</v>
      </c>
      <c r="D380" s="122">
        <v>19420</v>
      </c>
      <c r="E380" s="122">
        <v>21420</v>
      </c>
      <c r="F380" s="122">
        <v>21440</v>
      </c>
      <c r="G380" s="122">
        <v>21460</v>
      </c>
      <c r="H380" s="122">
        <v>21460</v>
      </c>
      <c r="I380" s="127">
        <v>21480</v>
      </c>
    </row>
    <row r="381" spans="1:9" s="11" customFormat="1" ht="31.5">
      <c r="A381" s="75" t="s">
        <v>127</v>
      </c>
      <c r="B381" s="97" t="s">
        <v>134</v>
      </c>
      <c r="C381" s="127">
        <v>386310</v>
      </c>
      <c r="D381" s="122">
        <f aca="true" t="shared" si="37" ref="D381:I381">D382+D383</f>
        <v>386330</v>
      </c>
      <c r="E381" s="122">
        <f t="shared" si="37"/>
        <v>251350</v>
      </c>
      <c r="F381" s="122">
        <f t="shared" si="37"/>
        <v>245340</v>
      </c>
      <c r="G381" s="122">
        <f t="shared" si="37"/>
        <v>243960</v>
      </c>
      <c r="H381" s="122">
        <f t="shared" si="37"/>
        <v>243980</v>
      </c>
      <c r="I381" s="122">
        <f t="shared" si="37"/>
        <v>243950</v>
      </c>
    </row>
    <row r="382" spans="1:9" s="11" customFormat="1" ht="15.75">
      <c r="A382" s="76" t="s">
        <v>128</v>
      </c>
      <c r="B382" s="97" t="s">
        <v>134</v>
      </c>
      <c r="C382" s="127">
        <v>359150</v>
      </c>
      <c r="D382" s="122">
        <v>359150</v>
      </c>
      <c r="E382" s="122">
        <v>224150</v>
      </c>
      <c r="F382" s="122">
        <v>218130</v>
      </c>
      <c r="G382" s="122">
        <v>216740</v>
      </c>
      <c r="H382" s="122">
        <v>216740</v>
      </c>
      <c r="I382" s="127">
        <v>216690</v>
      </c>
    </row>
    <row r="383" spans="1:9" s="11" customFormat="1" ht="15.75">
      <c r="A383" s="76" t="s">
        <v>126</v>
      </c>
      <c r="B383" s="97" t="s">
        <v>134</v>
      </c>
      <c r="C383" s="127">
        <v>27160</v>
      </c>
      <c r="D383" s="122">
        <v>27180</v>
      </c>
      <c r="E383" s="122">
        <v>27200</v>
      </c>
      <c r="F383" s="122">
        <v>27210</v>
      </c>
      <c r="G383" s="122">
        <v>27220</v>
      </c>
      <c r="H383" s="122">
        <v>27240</v>
      </c>
      <c r="I383" s="127">
        <v>27260</v>
      </c>
    </row>
    <row r="384" spans="1:9" s="11" customFormat="1" ht="31.5">
      <c r="A384" s="66" t="s">
        <v>140</v>
      </c>
      <c r="B384" s="97" t="s">
        <v>134</v>
      </c>
      <c r="C384" s="127">
        <v>10540</v>
      </c>
      <c r="D384" s="122">
        <v>10540</v>
      </c>
      <c r="E384" s="122">
        <v>10540</v>
      </c>
      <c r="F384" s="122">
        <v>10540</v>
      </c>
      <c r="G384" s="122">
        <v>10540</v>
      </c>
      <c r="H384" s="122">
        <v>10590</v>
      </c>
      <c r="I384" s="127">
        <v>10650</v>
      </c>
    </row>
    <row r="385" spans="1:9" s="11" customFormat="1" ht="15.75">
      <c r="A385" s="66" t="s">
        <v>15</v>
      </c>
      <c r="B385" s="97"/>
      <c r="C385" s="188"/>
      <c r="D385" s="122"/>
      <c r="E385" s="122"/>
      <c r="F385" s="122"/>
      <c r="G385" s="122"/>
      <c r="H385" s="122"/>
      <c r="I385" s="127"/>
    </row>
    <row r="386" spans="1:9" s="11" customFormat="1" ht="15.75">
      <c r="A386" s="77" t="s">
        <v>129</v>
      </c>
      <c r="B386" s="97" t="s">
        <v>134</v>
      </c>
      <c r="C386" s="127">
        <v>5810</v>
      </c>
      <c r="D386" s="122">
        <v>5810</v>
      </c>
      <c r="E386" s="122">
        <v>5810</v>
      </c>
      <c r="F386" s="122">
        <v>5810</v>
      </c>
      <c r="G386" s="122">
        <v>5810</v>
      </c>
      <c r="H386" s="122">
        <v>5860</v>
      </c>
      <c r="I386" s="127">
        <v>5910</v>
      </c>
    </row>
    <row r="387" spans="1:9" s="11" customFormat="1" ht="31.5">
      <c r="A387" s="77" t="s">
        <v>130</v>
      </c>
      <c r="B387" s="97" t="s">
        <v>134</v>
      </c>
      <c r="C387" s="127">
        <v>4730</v>
      </c>
      <c r="D387" s="122">
        <v>4730</v>
      </c>
      <c r="E387" s="122">
        <v>4730</v>
      </c>
      <c r="F387" s="122">
        <v>4730</v>
      </c>
      <c r="G387" s="122">
        <v>4730</v>
      </c>
      <c r="H387" s="122">
        <v>4730</v>
      </c>
      <c r="I387" s="127">
        <v>4740</v>
      </c>
    </row>
    <row r="388" spans="1:9" s="11" customFormat="1" ht="78.75">
      <c r="A388" s="66" t="s">
        <v>135</v>
      </c>
      <c r="B388" s="97" t="s">
        <v>134</v>
      </c>
      <c r="C388" s="127">
        <v>10</v>
      </c>
      <c r="D388" s="122">
        <v>10</v>
      </c>
      <c r="E388" s="122">
        <v>10</v>
      </c>
      <c r="F388" s="122">
        <v>10</v>
      </c>
      <c r="G388" s="122">
        <v>10</v>
      </c>
      <c r="H388" s="122">
        <v>10</v>
      </c>
      <c r="I388" s="122">
        <v>30</v>
      </c>
    </row>
    <row r="389" spans="1:9" s="11" customFormat="1" ht="31.5">
      <c r="A389" s="66" t="s">
        <v>131</v>
      </c>
      <c r="B389" s="97" t="s">
        <v>134</v>
      </c>
      <c r="C389" s="127">
        <v>135060</v>
      </c>
      <c r="D389" s="122">
        <v>135060</v>
      </c>
      <c r="E389" s="122">
        <v>135060</v>
      </c>
      <c r="F389" s="122">
        <v>135060</v>
      </c>
      <c r="G389" s="122">
        <v>135060</v>
      </c>
      <c r="H389" s="122">
        <v>135060</v>
      </c>
      <c r="I389" s="127">
        <v>134850</v>
      </c>
    </row>
    <row r="390" spans="1:9" s="11" customFormat="1" ht="15.75">
      <c r="A390" s="66" t="s">
        <v>132</v>
      </c>
      <c r="B390" s="97"/>
      <c r="C390" s="127"/>
      <c r="D390" s="122"/>
      <c r="E390" s="122"/>
      <c r="F390" s="122"/>
      <c r="G390" s="122"/>
      <c r="H390" s="122"/>
      <c r="I390" s="126"/>
    </row>
    <row r="391" spans="1:9" s="11" customFormat="1" ht="47.25">
      <c r="A391" s="77" t="s">
        <v>133</v>
      </c>
      <c r="B391" s="97" t="s">
        <v>134</v>
      </c>
      <c r="C391" s="127">
        <v>49770</v>
      </c>
      <c r="D391" s="122">
        <v>49770</v>
      </c>
      <c r="E391" s="122">
        <v>49770</v>
      </c>
      <c r="F391" s="122">
        <v>49770</v>
      </c>
      <c r="G391" s="122">
        <v>49770</v>
      </c>
      <c r="H391" s="122">
        <v>49770</v>
      </c>
      <c r="I391" s="122">
        <v>49700</v>
      </c>
    </row>
    <row r="392" spans="1:9" s="28" customFormat="1" ht="18.75">
      <c r="A392" s="137" t="s">
        <v>120</v>
      </c>
      <c r="B392" s="138"/>
      <c r="C392" s="138"/>
      <c r="D392" s="138"/>
      <c r="E392" s="138"/>
      <c r="F392" s="138"/>
      <c r="G392" s="138"/>
      <c r="H392" s="138"/>
      <c r="I392" s="138"/>
    </row>
    <row r="393" spans="1:9" s="11" customFormat="1" ht="31.5">
      <c r="A393" s="8" t="s">
        <v>203</v>
      </c>
      <c r="B393" s="20" t="s">
        <v>47</v>
      </c>
      <c r="C393" s="118">
        <f>(43634+43186)/2/1000</f>
        <v>43.41</v>
      </c>
      <c r="D393" s="118">
        <f>(43186+42412)/2/1000</f>
        <v>42.799</v>
      </c>
      <c r="E393" s="118">
        <v>41.345</v>
      </c>
      <c r="F393" s="118">
        <v>40.8</v>
      </c>
      <c r="G393" s="118">
        <v>40.3</v>
      </c>
      <c r="H393" s="118">
        <v>39.9</v>
      </c>
      <c r="I393" s="118">
        <v>39.4</v>
      </c>
    </row>
    <row r="394" spans="1:9" s="11" customFormat="1" ht="15.75">
      <c r="A394" s="8" t="s">
        <v>15</v>
      </c>
      <c r="B394" s="20"/>
      <c r="C394" s="118"/>
      <c r="D394" s="118"/>
      <c r="E394" s="189"/>
      <c r="F394" s="118"/>
      <c r="G394" s="118"/>
      <c r="H394" s="118"/>
      <c r="I394" s="118"/>
    </row>
    <row r="395" spans="1:9" s="11" customFormat="1" ht="15.75">
      <c r="A395" s="55" t="s">
        <v>204</v>
      </c>
      <c r="B395" s="20" t="s">
        <v>47</v>
      </c>
      <c r="C395" s="118">
        <v>25.4</v>
      </c>
      <c r="D395" s="118">
        <v>25</v>
      </c>
      <c r="E395" s="118">
        <v>24.1</v>
      </c>
      <c r="F395" s="118">
        <v>23.9</v>
      </c>
      <c r="G395" s="118">
        <v>23.6</v>
      </c>
      <c r="H395" s="118">
        <v>23.3</v>
      </c>
      <c r="I395" s="118">
        <v>23</v>
      </c>
    </row>
    <row r="396" spans="1:9" s="11" customFormat="1" ht="15.75">
      <c r="A396" s="78" t="s">
        <v>205</v>
      </c>
      <c r="B396" s="39" t="s">
        <v>47</v>
      </c>
      <c r="C396" s="118">
        <v>18</v>
      </c>
      <c r="D396" s="118">
        <f>D393-D395</f>
        <v>17.799</v>
      </c>
      <c r="E396" s="118">
        <v>17.1</v>
      </c>
      <c r="F396" s="118">
        <f>F393-F395</f>
        <v>16.9</v>
      </c>
      <c r="G396" s="118">
        <f>G393-G395</f>
        <v>16.699999999999996</v>
      </c>
      <c r="H396" s="118">
        <f>H393-H395</f>
        <v>16.599999999999998</v>
      </c>
      <c r="I396" s="118">
        <f>I393-I395</f>
        <v>16.4</v>
      </c>
    </row>
    <row r="397" spans="1:9" s="11" customFormat="1" ht="31.5">
      <c r="A397" s="66" t="s">
        <v>251</v>
      </c>
      <c r="B397" s="20" t="s">
        <v>252</v>
      </c>
      <c r="C397" s="118">
        <v>-3.4</v>
      </c>
      <c r="D397" s="118">
        <v>-3.3</v>
      </c>
      <c r="E397" s="118">
        <v>3</v>
      </c>
      <c r="F397" s="118">
        <v>-3.3</v>
      </c>
      <c r="G397" s="118">
        <v>-3.3</v>
      </c>
      <c r="H397" s="118">
        <v>-3.3</v>
      </c>
      <c r="I397" s="118">
        <v>-3.1</v>
      </c>
    </row>
    <row r="398" spans="1:9" s="31" customFormat="1" ht="18.75">
      <c r="A398" s="137" t="s">
        <v>248</v>
      </c>
      <c r="B398" s="138"/>
      <c r="C398" s="138"/>
      <c r="D398" s="138"/>
      <c r="E398" s="138"/>
      <c r="F398" s="138"/>
      <c r="G398" s="138"/>
      <c r="H398" s="138"/>
      <c r="I398" s="138"/>
    </row>
    <row r="399" spans="1:9" s="11" customFormat="1" ht="47.25">
      <c r="A399" s="66" t="s">
        <v>222</v>
      </c>
      <c r="B399" s="97" t="s">
        <v>48</v>
      </c>
      <c r="C399" s="128">
        <v>233</v>
      </c>
      <c r="D399" s="128">
        <v>238</v>
      </c>
      <c r="E399" s="130">
        <v>238</v>
      </c>
      <c r="F399" s="130" t="s">
        <v>255</v>
      </c>
      <c r="G399" s="130">
        <v>241</v>
      </c>
      <c r="H399" s="130">
        <v>241</v>
      </c>
      <c r="I399" s="130">
        <v>241</v>
      </c>
    </row>
    <row r="400" spans="1:9" s="11" customFormat="1" ht="31.5">
      <c r="A400" s="66" t="s">
        <v>223</v>
      </c>
      <c r="B400" s="97" t="s">
        <v>48</v>
      </c>
      <c r="C400" s="128">
        <v>144</v>
      </c>
      <c r="D400" s="128">
        <v>143</v>
      </c>
      <c r="E400" s="130" t="s">
        <v>257</v>
      </c>
      <c r="F400" s="130">
        <v>144</v>
      </c>
      <c r="G400" s="130">
        <v>146</v>
      </c>
      <c r="H400" s="130">
        <v>146</v>
      </c>
      <c r="I400" s="130">
        <v>146</v>
      </c>
    </row>
    <row r="401" spans="1:9" s="29" customFormat="1" ht="31.5">
      <c r="A401" s="66" t="s">
        <v>136</v>
      </c>
      <c r="B401" s="97" t="s">
        <v>122</v>
      </c>
      <c r="C401" s="129">
        <v>120996</v>
      </c>
      <c r="D401" s="129">
        <v>109764</v>
      </c>
      <c r="E401" s="129">
        <v>110879</v>
      </c>
      <c r="F401" s="129">
        <v>125583</v>
      </c>
      <c r="G401" s="129">
        <v>138141</v>
      </c>
      <c r="H401" s="129">
        <v>151955</v>
      </c>
      <c r="I401" s="129">
        <v>167150</v>
      </c>
    </row>
    <row r="402" spans="1:9" s="11" customFormat="1" ht="18.75">
      <c r="A402" s="137" t="s">
        <v>121</v>
      </c>
      <c r="B402" s="138"/>
      <c r="C402" s="138"/>
      <c r="D402" s="138"/>
      <c r="E402" s="138"/>
      <c r="F402" s="138"/>
      <c r="G402" s="138"/>
      <c r="H402" s="138"/>
      <c r="I402" s="138"/>
    </row>
    <row r="403" spans="1:9" s="11" customFormat="1" ht="63">
      <c r="A403" s="66" t="s">
        <v>210</v>
      </c>
      <c r="B403" s="97" t="s">
        <v>153</v>
      </c>
      <c r="C403" s="130">
        <v>66</v>
      </c>
      <c r="D403" s="130">
        <v>86</v>
      </c>
      <c r="E403" s="130">
        <v>89</v>
      </c>
      <c r="F403" s="130">
        <v>89</v>
      </c>
      <c r="G403" s="130">
        <v>89</v>
      </c>
      <c r="H403" s="130">
        <v>89</v>
      </c>
      <c r="I403" s="130">
        <v>89</v>
      </c>
    </row>
    <row r="404" spans="1:9" s="11" customFormat="1" ht="47.25">
      <c r="A404" s="66" t="s">
        <v>148</v>
      </c>
      <c r="B404" s="97" t="s">
        <v>154</v>
      </c>
      <c r="C404" s="131">
        <v>2904</v>
      </c>
      <c r="D404" s="131">
        <v>1939</v>
      </c>
      <c r="E404" s="131">
        <v>2867</v>
      </c>
      <c r="F404" s="131">
        <v>2867</v>
      </c>
      <c r="G404" s="131">
        <v>2867</v>
      </c>
      <c r="H404" s="131">
        <v>2867</v>
      </c>
      <c r="I404" s="131">
        <v>2867</v>
      </c>
    </row>
    <row r="405" spans="1:9" s="11" customFormat="1" ht="18.75">
      <c r="A405" s="77" t="s">
        <v>41</v>
      </c>
      <c r="B405" s="97"/>
      <c r="C405" s="131"/>
      <c r="D405" s="131"/>
      <c r="E405" s="131"/>
      <c r="F405" s="131"/>
      <c r="G405" s="131"/>
      <c r="H405" s="131"/>
      <c r="I405" s="132"/>
    </row>
    <row r="406" spans="1:9" s="11" customFormat="1" ht="15.75">
      <c r="A406" s="79" t="s">
        <v>149</v>
      </c>
      <c r="B406" s="97" t="s">
        <v>154</v>
      </c>
      <c r="C406" s="131">
        <v>980</v>
      </c>
      <c r="D406" s="131">
        <v>413</v>
      </c>
      <c r="E406" s="131">
        <v>260</v>
      </c>
      <c r="F406" s="131">
        <v>260</v>
      </c>
      <c r="G406" s="131">
        <v>260</v>
      </c>
      <c r="H406" s="131">
        <v>260</v>
      </c>
      <c r="I406" s="131">
        <v>260</v>
      </c>
    </row>
    <row r="407" spans="1:9" s="11" customFormat="1" ht="31.5">
      <c r="A407" s="79" t="s">
        <v>150</v>
      </c>
      <c r="B407" s="97" t="s">
        <v>154</v>
      </c>
      <c r="C407" s="131">
        <v>1924</v>
      </c>
      <c r="D407" s="131">
        <v>1526</v>
      </c>
      <c r="E407" s="131">
        <v>2607</v>
      </c>
      <c r="F407" s="131">
        <v>2607</v>
      </c>
      <c r="G407" s="131">
        <v>2607</v>
      </c>
      <c r="H407" s="131">
        <v>2607</v>
      </c>
      <c r="I407" s="131">
        <v>2607</v>
      </c>
    </row>
    <row r="408" spans="1:9" s="11" customFormat="1" ht="15.75">
      <c r="A408" s="66" t="s">
        <v>151</v>
      </c>
      <c r="B408" s="97" t="s">
        <v>154</v>
      </c>
      <c r="C408" s="133">
        <f>C404/C393/1000</f>
        <v>0.06689702833448515</v>
      </c>
      <c r="D408" s="133">
        <f>D404/D393/1000</f>
        <v>0.04530479684104769</v>
      </c>
      <c r="E408" s="133">
        <v>0.068</v>
      </c>
      <c r="F408" s="133">
        <v>0.068</v>
      </c>
      <c r="G408" s="133">
        <v>0.068</v>
      </c>
      <c r="H408" s="133">
        <v>0.068</v>
      </c>
      <c r="I408" s="133">
        <v>0.068</v>
      </c>
    </row>
    <row r="409" spans="1:9" s="11" customFormat="1" ht="31.5">
      <c r="A409" s="66" t="s">
        <v>152</v>
      </c>
      <c r="B409" s="97" t="s">
        <v>33</v>
      </c>
      <c r="C409" s="131">
        <v>15799.3</v>
      </c>
      <c r="D409" s="131">
        <v>3230</v>
      </c>
      <c r="E409" s="131">
        <v>3597.7</v>
      </c>
      <c r="F409" s="131">
        <v>4035</v>
      </c>
      <c r="G409" s="131">
        <v>4035</v>
      </c>
      <c r="H409" s="131">
        <v>4035</v>
      </c>
      <c r="I409" s="131">
        <v>4035</v>
      </c>
    </row>
    <row r="410" spans="1:9" s="11" customFormat="1" ht="18.75">
      <c r="A410" s="35"/>
      <c r="B410" s="98"/>
      <c r="C410" s="26"/>
      <c r="D410" s="26"/>
      <c r="E410" s="26"/>
      <c r="F410" s="26"/>
      <c r="G410" s="26"/>
      <c r="H410" s="26"/>
      <c r="I410" s="26"/>
    </row>
    <row r="411" spans="1:9" s="10" customFormat="1" ht="15.75">
      <c r="A411" s="25"/>
      <c r="B411" s="96"/>
      <c r="C411" s="2"/>
      <c r="D411" s="2"/>
      <c r="E411" s="2"/>
      <c r="F411" s="2"/>
      <c r="G411" s="2"/>
      <c r="H411" s="190"/>
      <c r="I411" s="190"/>
    </row>
  </sheetData>
  <mergeCells count="82">
    <mergeCell ref="A304:I304"/>
    <mergeCell ref="A311:I311"/>
    <mergeCell ref="A3:I3"/>
    <mergeCell ref="A289:I289"/>
    <mergeCell ref="A292:I292"/>
    <mergeCell ref="A295:I295"/>
    <mergeCell ref="A298:I298"/>
    <mergeCell ref="A277:I277"/>
    <mergeCell ref="A280:I280"/>
    <mergeCell ref="A283:I283"/>
    <mergeCell ref="A255:I255"/>
    <mergeCell ref="A258:I258"/>
    <mergeCell ref="A262:I262"/>
    <mergeCell ref="A286:I286"/>
    <mergeCell ref="A265:I265"/>
    <mergeCell ref="A268:I268"/>
    <mergeCell ref="A271:I271"/>
    <mergeCell ref="A274:I274"/>
    <mergeCell ref="A205:I205"/>
    <mergeCell ref="A208:I208"/>
    <mergeCell ref="A229:I229"/>
    <mergeCell ref="A230:I230"/>
    <mergeCell ref="A192:I192"/>
    <mergeCell ref="A196:I196"/>
    <mergeCell ref="A199:I199"/>
    <mergeCell ref="A202:I202"/>
    <mergeCell ref="A126:I126"/>
    <mergeCell ref="A129:I129"/>
    <mergeCell ref="A182:I182"/>
    <mergeCell ref="A186:I186"/>
    <mergeCell ref="A55:I55"/>
    <mergeCell ref="A59:I59"/>
    <mergeCell ref="A120:I120"/>
    <mergeCell ref="A123:I123"/>
    <mergeCell ref="A27:I27"/>
    <mergeCell ref="A31:I31"/>
    <mergeCell ref="A35:I35"/>
    <mergeCell ref="A39:I39"/>
    <mergeCell ref="G4:I4"/>
    <mergeCell ref="A63:I63"/>
    <mergeCell ref="A79:I79"/>
    <mergeCell ref="A83:I83"/>
    <mergeCell ref="A9:I9"/>
    <mergeCell ref="A10:I10"/>
    <mergeCell ref="A14:I14"/>
    <mergeCell ref="A18:I18"/>
    <mergeCell ref="A19:I19"/>
    <mergeCell ref="A23:I23"/>
    <mergeCell ref="A373:I373"/>
    <mergeCell ref="A392:I392"/>
    <mergeCell ref="A398:I398"/>
    <mergeCell ref="A402:I402"/>
    <mergeCell ref="A302:I302"/>
    <mergeCell ref="A211:I211"/>
    <mergeCell ref="A214:I214"/>
    <mergeCell ref="A217:I217"/>
    <mergeCell ref="A220:I220"/>
    <mergeCell ref="A223:I223"/>
    <mergeCell ref="A226:I226"/>
    <mergeCell ref="A240:I240"/>
    <mergeCell ref="A246:I246"/>
    <mergeCell ref="A250:I250"/>
    <mergeCell ref="A371:I371"/>
    <mergeCell ref="A4:A5"/>
    <mergeCell ref="B4:B5"/>
    <mergeCell ref="A105:I105"/>
    <mergeCell ref="A6:I6"/>
    <mergeCell ref="A191:I191"/>
    <mergeCell ref="A84:I84"/>
    <mergeCell ref="A88:I88"/>
    <mergeCell ref="A92:I92"/>
    <mergeCell ref="A107:I107"/>
    <mergeCell ref="A2:I2"/>
    <mergeCell ref="A347:I347"/>
    <mergeCell ref="A357:I357"/>
    <mergeCell ref="A323:I323"/>
    <mergeCell ref="A327:I327"/>
    <mergeCell ref="A106:I106"/>
    <mergeCell ref="A116:I116"/>
    <mergeCell ref="A119:I119"/>
    <mergeCell ref="A249:I249"/>
    <mergeCell ref="A320:I320"/>
  </mergeCells>
  <printOptions/>
  <pageMargins left="0.984251968503937" right="0.2755905511811024" top="0.3937007874015748" bottom="0.3937007874015748" header="0.1968503937007874" footer="0.15748031496062992"/>
  <pageSetup fitToHeight="10" horizontalDpi="600" verticalDpi="600" orientation="portrait" paperSize="9" scale="83" r:id="rId1"/>
  <headerFooter alignWithMargins="0">
    <oddFooter>&amp;R&amp;"Times New Roman CYR,обычный"&amp;12&amp;P</oddFooter>
  </headerFooter>
  <rowBreaks count="10" manualBreakCount="10">
    <brk id="34" max="8" man="1"/>
    <brk id="101" max="8" man="1"/>
    <brk id="177" max="8" man="1"/>
    <brk id="225" max="8" man="1"/>
    <brk id="261" max="8" man="1"/>
    <brk id="301" max="8" man="1"/>
    <brk id="319" max="8" man="1"/>
    <brk id="341" max="8" man="1"/>
    <brk id="366" max="8" man="1"/>
    <brk id="3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Kontora</cp:lastModifiedBy>
  <cp:lastPrinted>2011-10-12T08:17:47Z</cp:lastPrinted>
  <dcterms:created xsi:type="dcterms:W3CDTF">2003-05-23T03:32:28Z</dcterms:created>
  <dcterms:modified xsi:type="dcterms:W3CDTF">2011-11-09T03:52:44Z</dcterms:modified>
  <cp:category/>
  <cp:version/>
  <cp:contentType/>
  <cp:contentStatus/>
</cp:coreProperties>
</file>